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5130" windowHeight="4650" tabRatio="771" activeTab="0"/>
  </bookViews>
  <sheets>
    <sheet name="Describe" sheetId="1" r:id="rId1"/>
    <sheet name="Offsets" sheetId="2" state="hidden" r:id="rId2"/>
    <sheet name="Popn" sheetId="3" r:id="rId3"/>
    <sheet name="Tracks" sheetId="4" r:id="rId4"/>
    <sheet name="Scenarios" sheetId="5" r:id="rId5"/>
    <sheet name="ReadyReckoner" sheetId="6" r:id="rId6"/>
    <sheet name="Data" sheetId="7" r:id="rId7"/>
    <sheet name="Base" sheetId="8" r:id="rId8"/>
    <sheet name="Option" sheetId="9" r:id="rId9"/>
  </sheets>
  <definedNames/>
  <calcPr fullCalcOnLoad="1"/>
</workbook>
</file>

<file path=xl/comments4.xml><?xml version="1.0" encoding="utf-8"?>
<comments xmlns="http://schemas.openxmlformats.org/spreadsheetml/2006/main">
  <authors>
    <author>bellm</author>
  </authors>
  <commentList>
    <comment ref="H15" authorId="0">
      <text>
        <r>
          <rPr>
            <b/>
            <sz val="9"/>
            <rFont val="Tahoma"/>
            <family val="2"/>
          </rPr>
          <t>bellm:</t>
        </r>
        <r>
          <rPr>
            <sz val="9"/>
            <rFont val="Tahoma"/>
            <family val="2"/>
          </rPr>
          <t xml:space="preserve">
First period in Actuary's track is only four months</t>
        </r>
      </text>
    </comment>
    <comment ref="I15" authorId="0">
      <text>
        <r>
          <rPr>
            <b/>
            <sz val="9"/>
            <rFont val="Tahoma"/>
            <family val="2"/>
          </rPr>
          <t>bellm:</t>
        </r>
        <r>
          <rPr>
            <sz val="9"/>
            <rFont val="Tahoma"/>
            <family val="2"/>
          </rPr>
          <t xml:space="preserve">
First period in Actuary's track is only four months</t>
        </r>
      </text>
    </comment>
  </commentList>
</comments>
</file>

<file path=xl/comments8.xml><?xml version="1.0" encoding="utf-8"?>
<comments xmlns="http://schemas.openxmlformats.org/spreadsheetml/2006/main">
  <authors>
    <author>Matthew Bell</author>
  </authors>
  <commentList>
    <comment ref="R101" authorId="0">
      <text>
        <r>
          <rPr>
            <sz val="9"/>
            <rFont val="Tahoma"/>
            <family val="2"/>
          </rPr>
          <t xml:space="preserve">
$250 million removed for cessation of Treaty Claims</t>
        </r>
      </text>
    </comment>
  </commentList>
</comments>
</file>

<file path=xl/comments9.xml><?xml version="1.0" encoding="utf-8"?>
<comments xmlns="http://schemas.openxmlformats.org/spreadsheetml/2006/main">
  <authors>
    <author>Matthew Bell</author>
  </authors>
  <commentList>
    <comment ref="R101" authorId="0">
      <text>
        <r>
          <rPr>
            <sz val="9"/>
            <rFont val="Tahoma"/>
            <family val="2"/>
          </rPr>
          <t xml:space="preserve">
$250 million removed for cessation of Treaty Claims</t>
        </r>
      </text>
    </comment>
  </commentList>
</comments>
</file>

<file path=xl/sharedStrings.xml><?xml version="1.0" encoding="utf-8"?>
<sst xmlns="http://schemas.openxmlformats.org/spreadsheetml/2006/main" count="1698" uniqueCount="953">
  <si>
    <t>Fiscal RR addition to net worth</t>
  </si>
  <si>
    <t>Economic RR addition to revenue</t>
  </si>
  <si>
    <t>2012/13</t>
  </si>
  <si>
    <t>Based on data from the Accident Compensation Corporation. Cost weights averaged over 2001/02 to 2005/06.</t>
  </si>
  <si>
    <t>Tertiary Education Student Loans Analysis (SLIM)</t>
  </si>
  <si>
    <t>Males (ages in years)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</si>
  <si>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</si>
  <si>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</si>
  <si>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</si>
  <si>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</si>
  <si>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</si>
  <si>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</si>
  <si>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</si>
  <si>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</si>
  <si>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</si>
  <si>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</si>
  <si>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</si>
  <si>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</si>
  <si>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</si>
  <si>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</si>
  <si>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</si>
  <si>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</si>
  <si>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</si>
  <si>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</si>
  <si>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</si>
  <si>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</si>
  <si>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</si>
  <si>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</si>
  <si>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</si>
  <si>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</si>
  <si>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</si>
  <si>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</si>
  <si>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</si>
  <si>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</si>
  <si>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</si>
  <si>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</si>
  <si>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</si>
  <si>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</si>
  <si>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</si>
  <si>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</si>
  <si>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</si>
  <si>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</si>
  <si>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</si>
  <si>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</si>
  <si>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</si>
  <si>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</si>
  <si>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</si>
  <si>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</si>
  <si>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</si>
  <si>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</si>
  <si>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</si>
  <si>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</si>
  <si>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</si>
  <si>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</si>
  <si>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</si>
  <si>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</si>
  <si>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</si>
  <si>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</si>
  <si>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</si>
  <si>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</si>
  <si>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</si>
  <si>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</si>
  <si>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</si>
  <si>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</si>
  <si>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</si>
  <si>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</si>
  <si>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</si>
  <si>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</si>
  <si>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</si>
  <si>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</si>
  <si>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</si>
  <si>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</si>
  <si>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</si>
  <si>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</si>
  <si>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</si>
  <si>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</si>
  <si>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</si>
  <si>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</si>
  <si>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</si>
  <si>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</si>
  <si>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</si>
  <si>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</si>
  <si>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</si>
  <si>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</si>
  <si>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</si>
  <si>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</si>
  <si>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</si>
  <si>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</si>
  <si>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</si>
  <si>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</si>
  <si>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</si>
  <si>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</si>
  <si>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</si>
  <si>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</si>
  <si>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</si>
  <si>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</si>
  <si>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 and above</t>
  </si>
  <si>
    <t>Females (ages in years)</t>
  </si>
  <si>
    <t>Total Male population (in millions)</t>
  </si>
  <si>
    <t>Total Female population (in millions)</t>
  </si>
  <si>
    <t>Total Population (in millions)</t>
  </si>
  <si>
    <t>2007/08</t>
  </si>
  <si>
    <t>2008/09</t>
  </si>
  <si>
    <t>2009/10</t>
  </si>
  <si>
    <t>2010/11</t>
  </si>
  <si>
    <t>2011/12</t>
  </si>
  <si>
    <t>2013/14</t>
  </si>
  <si>
    <t>2014/15</t>
  </si>
  <si>
    <t>2015/16</t>
  </si>
  <si>
    <t>2016/17</t>
  </si>
  <si>
    <t>KiwiSaver expense</t>
  </si>
  <si>
    <t>Climate Change: ETS and emissions liability</t>
  </si>
  <si>
    <t>2017/18</t>
  </si>
  <si>
    <t>2018/19</t>
  </si>
  <si>
    <t>2020/21</t>
  </si>
  <si>
    <t>2021/22</t>
  </si>
  <si>
    <t>Provision for Kyoto</t>
  </si>
  <si>
    <t>Revenue -Levies Payable under ETS</t>
  </si>
  <si>
    <t>Expense - Free Allocation of Units</t>
  </si>
  <si>
    <t>Liability - outstanding NZ Units</t>
  </si>
  <si>
    <t>Asset - International Units</t>
  </si>
  <si>
    <t>Both</t>
  </si>
  <si>
    <t>Economic RR addition to expenses ex finance costs</t>
  </si>
  <si>
    <t>Economic RR annual addition to gross debt</t>
  </si>
  <si>
    <t>Check against forecast</t>
  </si>
  <si>
    <t>Total RR addition to net worth</t>
  </si>
  <si>
    <t>Economic RR</t>
  </si>
  <si>
    <t>no</t>
  </si>
  <si>
    <t>Fiscal RR</t>
  </si>
  <si>
    <t>Nominal GDP</t>
  </si>
  <si>
    <t>CPI</t>
  </si>
  <si>
    <t>Labour force</t>
  </si>
  <si>
    <t>Unemployment  rate</t>
  </si>
  <si>
    <t>Average weekly hours</t>
  </si>
  <si>
    <t>AGE GROUP</t>
  </si>
  <si>
    <t>FEMALE</t>
  </si>
  <si>
    <t>MALE</t>
  </si>
  <si>
    <t>65 and above</t>
  </si>
  <si>
    <t>Operating Balance</t>
  </si>
  <si>
    <t>Net Worth</t>
  </si>
  <si>
    <t>NOTES TO THE FISCAL STATEMENTS</t>
  </si>
  <si>
    <t>Yes</t>
  </si>
  <si>
    <t>No</t>
  </si>
  <si>
    <t>Opening Balance</t>
  </si>
  <si>
    <t>Closing Balance</t>
  </si>
  <si>
    <t>FISCAL YEAR (JULY TO JUNE)</t>
  </si>
  <si>
    <t>Percentage change</t>
  </si>
  <si>
    <t>ANNUAL CONVERGENCE RATES</t>
  </si>
  <si>
    <t>Participation rate (15+ popn)</t>
  </si>
  <si>
    <t>Core Crown health expenditure</t>
  </si>
  <si>
    <t>Total Crown health expenditure</t>
  </si>
  <si>
    <t>Core Crown education expenditure</t>
  </si>
  <si>
    <t>Total Crown education expenditure</t>
  </si>
  <si>
    <t>Real growth of education</t>
  </si>
  <si>
    <t>Core Crown other expenses</t>
  </si>
  <si>
    <t>Closing Fund Balance</t>
  </si>
  <si>
    <t>Check by calculation</t>
  </si>
  <si>
    <t>Net December quarter average wage</t>
  </si>
  <si>
    <t>NZ Super Floor (as % of average wage)</t>
  </si>
  <si>
    <t>Net NZS for married individual (CPI-indexed 1 April)</t>
  </si>
  <si>
    <t>Average Wage floor applied to NZS growth</t>
  </si>
  <si>
    <t>SOCIAL WELFARE BENEFITS: AGE AND GENDER PROPORTIONS</t>
  </si>
  <si>
    <t>Proj Yr1</t>
  </si>
  <si>
    <t>Finance costs</t>
  </si>
  <si>
    <t>Government 10-year Bond Rate</t>
  </si>
  <si>
    <t>Real GDP (Base = 1995/96)</t>
  </si>
  <si>
    <t>Real GDP (production), Base = 1995/96</t>
  </si>
  <si>
    <t>$0.0 billion forecast cash surplus in 2012/13</t>
  </si>
  <si>
    <t>Operating Balance before Gains and Losses (OBEGAL) is an indicator of the Government's fiscal performance.</t>
  </si>
  <si>
    <t>Also uses a long-run expected rate of return of 8.65% before tax or 6.57% after tax</t>
  </si>
  <si>
    <t>Values below are for initial projected fiscal year, 2013/14. All can be altered using the "Scenarios" worksheet.</t>
  </si>
  <si>
    <t>Allowance for New Capital Expenditure</t>
  </si>
  <si>
    <t>Personal Taxation Elasticity (for Fiscal Drag)</t>
  </si>
  <si>
    <t>TOTAL CROWN - Operating Statement Analysis</t>
  </si>
  <si>
    <t>ASSUMPTIONS FOR SCENARIOS</t>
  </si>
  <si>
    <t>TOTAL CROWN - Balance Sheet Analysis</t>
  </si>
  <si>
    <t>CORE CROWN - Operating Statement Analysis</t>
  </si>
  <si>
    <t>CORE CROWN - Balance Sheet Analysis</t>
  </si>
  <si>
    <t>INDEXATION OF NZ SUPERANNUATION (NZS)</t>
  </si>
  <si>
    <t>2006 cost weights supplied by Ministry of Health</t>
  </si>
  <si>
    <t>Base Assumptions in Projected years</t>
  </si>
  <si>
    <t>KiwiSaver</t>
  </si>
  <si>
    <t>DMO financial asset run down</t>
  </si>
  <si>
    <t>OBEGAL Projection Assumptions</t>
  </si>
  <si>
    <t>Use targeted corporate tax-to-GDP ratio in projections?</t>
  </si>
  <si>
    <t>Use targeted other tax-to-GDP ratio in projections?</t>
  </si>
  <si>
    <t>HEALTH COST WEIGHTS IN THE LONG TERM FISCAL MODEL (2005/06 $)</t>
  </si>
  <si>
    <t>Labour Force participation rates</t>
  </si>
  <si>
    <t>A 65+</t>
  </si>
  <si>
    <t>Total Female</t>
  </si>
  <si>
    <t>Total Male</t>
  </si>
  <si>
    <t>Total for Population</t>
  </si>
  <si>
    <t>Total Labour Force</t>
  </si>
  <si>
    <t>TYPE OF FISCAL DRAG MODELLED</t>
  </si>
  <si>
    <t>Entire population</t>
  </si>
  <si>
    <t>TAX TO NOMINAL GDP RATIOS</t>
  </si>
  <si>
    <t>Target % of Nominal GDP for corporate taxes</t>
  </si>
  <si>
    <t>Target % of Nominal GDP for other taxes</t>
  </si>
  <si>
    <t>If set tax-to-GDP ratios are desired in projections, use Yes. Any other choice simply uses end-of-forecast ratios.</t>
  </si>
  <si>
    <t>To apply Fiscal Drag modelling to source deductions (PAYE) tax, use Yes. Any other choice applies nominal GDP growth only.</t>
  </si>
  <si>
    <t>If set tax-to-GDP ratios are selected, choose an increment to reach these from end-of-forecast values. Also choose ratios for the</t>
  </si>
  <si>
    <t>three tax types in the model. Note for source deductions that, if fiscal drag is selected above, the tax-to-GDP ratio will still grow.</t>
  </si>
  <si>
    <t>Adjustment rate as % of GDP for all tax types</t>
  </si>
  <si>
    <t>Growth due to demographics</t>
  </si>
  <si>
    <t>Real growth of NZS</t>
  </si>
  <si>
    <t>Total annual growth</t>
  </si>
  <si>
    <t>Social Welfare (excluding NZS)</t>
  </si>
  <si>
    <t>Core Crown property, plant and equipment</t>
  </si>
  <si>
    <t>Total Crown property, plant and equipment</t>
  </si>
  <si>
    <t>Core Crown non-debt liabilities</t>
  </si>
  <si>
    <t>Total Crown non-debt liabilities</t>
  </si>
  <si>
    <t>Real growth of social welfare (excluding NZS)</t>
  </si>
  <si>
    <t>Tax on gross NZ Superannuation expenditure</t>
  </si>
  <si>
    <t>Total Assets to GDP (Core Crown)</t>
  </si>
  <si>
    <t>Real growth of health</t>
  </si>
  <si>
    <t>Other Non-Finance Expenses</t>
  </si>
  <si>
    <t>Net Interest (=Gross - Interest W-Os)</t>
  </si>
  <si>
    <t>Source deductions</t>
  </si>
  <si>
    <t>Other persons</t>
  </si>
  <si>
    <t>Refunds</t>
  </si>
  <si>
    <t>Fringe benefit tax</t>
  </si>
  <si>
    <t>Working age population (SNZ 15+ popn) (millions)</t>
  </si>
  <si>
    <t>Labour Force (millions)</t>
  </si>
  <si>
    <t>Labour productivity growth</t>
  </si>
  <si>
    <t>Average hourly wage growth (ordinary time)</t>
  </si>
  <si>
    <t>Gross Dec qtr average weekly wage (ordinary time)</t>
  </si>
  <si>
    <t>Hourly wage growth (ordinary time)</t>
  </si>
  <si>
    <t>Gross Sovereign-issued Debt (GSID)</t>
  </si>
  <si>
    <t>Last fiscal year to which fiscal drag is applied</t>
  </si>
  <si>
    <t>85+</t>
  </si>
  <si>
    <t>DSS UNDER 65</t>
  </si>
  <si>
    <t xml:space="preserve">   DSS OLDER</t>
  </si>
  <si>
    <t>Age Band</t>
  </si>
  <si>
    <t>20 - 29</t>
  </si>
  <si>
    <t>30 - 39</t>
  </si>
  <si>
    <t>40 - 49</t>
  </si>
  <si>
    <t>50 - 59</t>
  </si>
  <si>
    <t>65+</t>
  </si>
  <si>
    <t>TOTAL PAYMENTS</t>
  </si>
  <si>
    <t>NON-EARNERS ACCOUNT</t>
  </si>
  <si>
    <t>18 &amp;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</si>
  <si>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</si>
  <si>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</si>
  <si>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</si>
  <si>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</si>
  <si>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</si>
  <si>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</si>
  <si>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</si>
  <si>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</si>
  <si>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</si>
  <si>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Percentages of population</t>
  </si>
  <si>
    <t>Under 20 (driven by 18 &amp; 19 yr olds)</t>
  </si>
  <si>
    <t>Population 1-4  (Early Childhood Education)</t>
  </si>
  <si>
    <t>Population 18-24  (Tertiary Education)</t>
  </si>
  <si>
    <t>Population 5-12 &amp; 13-17 combined  (Prim &amp; Sec Education)</t>
  </si>
  <si>
    <t>Population 65+ (NZS recipients)</t>
  </si>
  <si>
    <t>Population 0-19  (Family Support recipients)</t>
  </si>
  <si>
    <t>Population 15+  (Accomm, Disability &amp; minor ben recipients)</t>
  </si>
  <si>
    <t>Female population 18 &amp; 19</t>
  </si>
  <si>
    <t>Historical fiscal years</t>
  </si>
  <si>
    <t>Forecast fiscal years</t>
  </si>
  <si>
    <t>Projected fiscal years begin with</t>
  </si>
  <si>
    <t>Unemployment Benefit (UB)</t>
  </si>
  <si>
    <t>Growth due to inflation</t>
  </si>
  <si>
    <t>ECONOMIC READY RECKONER</t>
  </si>
  <si>
    <t>Male population 18 &amp; 19</t>
  </si>
  <si>
    <t>Female population 20 to 24</t>
  </si>
  <si>
    <t>Male population 20 to 24</t>
  </si>
  <si>
    <t>Female population 25 to 29</t>
  </si>
  <si>
    <t>Male population 25 to 29</t>
  </si>
  <si>
    <t>Female population 30 to 34</t>
  </si>
  <si>
    <t>Female population 35 to 39</t>
  </si>
  <si>
    <t>Male population 30 to 34</t>
  </si>
  <si>
    <t>Male population 35 to 39</t>
  </si>
  <si>
    <t>Female population 40 to 44</t>
  </si>
  <si>
    <t>Female population 45 to 49</t>
  </si>
  <si>
    <t>Female population 50 to 54</t>
  </si>
  <si>
    <t>Female population 55 to 59</t>
  </si>
  <si>
    <t>Female population 60 to 64</t>
  </si>
  <si>
    <t>Female population 65+</t>
  </si>
  <si>
    <t>Male population 40 to 44</t>
  </si>
  <si>
    <t>Male population 45 to 49</t>
  </si>
  <si>
    <t>Male population 50 to 54</t>
  </si>
  <si>
    <t>Male population 55 to 59</t>
  </si>
  <si>
    <t>Male population 60 to 64</t>
  </si>
  <si>
    <t>Male population 65+</t>
  </si>
  <si>
    <t>DATA FROM MACROFORECASTING</t>
  </si>
  <si>
    <t>Other taxes, including GST</t>
  </si>
  <si>
    <t>Total Crown tax revenue</t>
  </si>
  <si>
    <t>Domestic Purposes Benefit, Invalid's Benefit and Sickness Benefit</t>
  </si>
  <si>
    <t>Average of three</t>
  </si>
  <si>
    <t>Other welfare assistance and expenses</t>
  </si>
  <si>
    <t>Allocate Capital Allowance (to Property, Plant &amp; Equipment)</t>
  </si>
  <si>
    <t>New Zealand Superannuation (NZS)</t>
  </si>
  <si>
    <t xml:space="preserve">The following input tracks are obtained from various sources both within and external to Treasury and act as exogenous inputs to the model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</si>
  <si>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</si>
  <si>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</si>
  <si>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</si>
  <si>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</si>
  <si>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</si>
  <si>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</si>
  <si>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</si>
  <si>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</si>
  <si>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</si>
  <si>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</si>
  <si>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</si>
  <si>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</si>
  <si>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</si>
  <si>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</si>
  <si>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</si>
  <si>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</si>
  <si>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</si>
  <si>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TOTAL</t>
  </si>
  <si>
    <t>PERSONAL HEALTH</t>
  </si>
  <si>
    <t xml:space="preserve">EXPENDITURE CATEGORY    </t>
  </si>
  <si>
    <t>AGE GROUP / GENDER</t>
  </si>
  <si>
    <t>MENTAL HEALTH</t>
  </si>
  <si>
    <t>PUBLIC HEALTH</t>
  </si>
  <si>
    <t>TOTAL HEALTH</t>
  </si>
  <si>
    <t>Females</t>
  </si>
  <si>
    <t>A 15-19</t>
  </si>
  <si>
    <t>A 20-24</t>
  </si>
  <si>
    <t>A 25-29</t>
  </si>
  <si>
    <t>A 30-34</t>
  </si>
  <si>
    <t>A 35-39</t>
  </si>
  <si>
    <t>A 40-44</t>
  </si>
  <si>
    <t>A 45-49</t>
  </si>
  <si>
    <t>A 50-54</t>
  </si>
  <si>
    <t>A 55-59</t>
  </si>
  <si>
    <t>A 60-64</t>
  </si>
  <si>
    <t>Forecast New Operating Spending (indicates Allowance, whether allocated or not)</t>
  </si>
  <si>
    <t>Forecast New Capital Spending (indicates Allowance, whether allocated or not)</t>
  </si>
  <si>
    <t>NOTE A: TAX REVENUE</t>
  </si>
  <si>
    <t>This version of the FSM uses:</t>
  </si>
  <si>
    <t>Labour Productivity growth</t>
  </si>
  <si>
    <t>CONTRIBUTIONS TO CORE CROWN EXPENSE GROWTH</t>
  </si>
  <si>
    <t>Top-down expense adjustment</t>
  </si>
  <si>
    <t>Net surplus/(deficit) from associates and joint ventures</t>
  </si>
  <si>
    <t>Operating balance before gains/(losses) OBEGAL</t>
  </si>
  <si>
    <t>Total Crown revenue (excluding gains)</t>
  </si>
  <si>
    <t>Total Crown expenses (excluding losses)</t>
  </si>
  <si>
    <t>Other sovereign revenue</t>
  </si>
  <si>
    <t>Investment revenue and dividends</t>
  </si>
  <si>
    <t>Issued Currency</t>
  </si>
  <si>
    <t>Payables</t>
  </si>
  <si>
    <t>Insurance liabilities</t>
  </si>
  <si>
    <t>Provisions</t>
  </si>
  <si>
    <t>Deferred revenue</t>
  </si>
  <si>
    <t>Cash and cash equivalents</t>
  </si>
  <si>
    <t>Marketable securities and derivatives in gain</t>
  </si>
  <si>
    <t>Share investments</t>
  </si>
  <si>
    <t>Inventory</t>
  </si>
  <si>
    <t>Prepayments and other assets</t>
  </si>
  <si>
    <t>Equity accounted investments (including TEIs)</t>
  </si>
  <si>
    <t>Top-down capital adjustment</t>
  </si>
  <si>
    <t>Intangible assets and goodwill</t>
  </si>
  <si>
    <t>Total Net Worth</t>
  </si>
  <si>
    <t>Net Core Crown debt (including NZS Fund)</t>
  </si>
  <si>
    <t>NOTE: Revenue collected through the Crown's sovereign power</t>
  </si>
  <si>
    <t>NOTE: Social assistance and official development assistance</t>
  </si>
  <si>
    <t>Core Crown advances other than Student Loans</t>
  </si>
  <si>
    <t>Repayments made during the year</t>
  </si>
  <si>
    <t>Interest unwind</t>
  </si>
  <si>
    <t>Impairment</t>
  </si>
  <si>
    <t>Other movements</t>
  </si>
  <si>
    <t>NZ Superannuation Fund</t>
  </si>
  <si>
    <t>Other Core Crown</t>
  </si>
  <si>
    <t>Core Crown cash and cash equivalents</t>
  </si>
  <si>
    <t>Core Crown receivables</t>
  </si>
  <si>
    <t>Core Crown equity accounted investments</t>
  </si>
  <si>
    <t>Total Crown receivables</t>
  </si>
  <si>
    <t>Opening net worth</t>
  </si>
  <si>
    <t>Gross contribution from the Crown</t>
  </si>
  <si>
    <r>
      <t>plus</t>
    </r>
    <r>
      <rPr>
        <sz val="10"/>
        <rFont val="Times New Roman"/>
        <family val="1"/>
      </rPr>
      <t xml:space="preserve"> Gross contribution from the Crown</t>
    </r>
  </si>
  <si>
    <t>Core Crown marketable securities, derivatives in gain and share investments</t>
  </si>
  <si>
    <t>NZ Superannuation Fund portfolio (excluding cross-holdings of Govt stock)</t>
  </si>
  <si>
    <t>Total Crown marketable securities, derivatives in gain and share investments</t>
  </si>
  <si>
    <t>Revenue (excluding gains)</t>
  </si>
  <si>
    <t>Expenses (excluding losses)</t>
  </si>
  <si>
    <t>OBEGAL (Operating Balance before Gains and Losses)</t>
  </si>
  <si>
    <t>Revenue (excluding gains) to GDP (Total Crown)</t>
  </si>
  <si>
    <t>Expenses (excluding losses) to GDP (Total Crown)</t>
  </si>
  <si>
    <t>Expenses (excluding losses) without finance costs to GDP (Total Crown)</t>
  </si>
  <si>
    <t>Expenses (excluding losses) without finance costs</t>
  </si>
  <si>
    <t>OBEGAL (Operating Balance before Gains and Losses) to GDP (Total Crown)</t>
  </si>
  <si>
    <t>Revenue (excluding gains) to GDP (Core Crown)</t>
  </si>
  <si>
    <t>Expenses (excluding losses) to GDP (Core Crown)</t>
  </si>
  <si>
    <t>Expenses (excluding losses) without finance costs to GDP (Core Crown)</t>
  </si>
  <si>
    <t>Forecast period uses Fiscal forecast numbers (make any balancing adjustments on tax paid)</t>
  </si>
  <si>
    <t>Tax on New Zealand Superannuation</t>
  </si>
  <si>
    <t>Corporate tax</t>
  </si>
  <si>
    <t>Sales of goods and services</t>
  </si>
  <si>
    <t>Other revenue</t>
  </si>
  <si>
    <t>Social security and welfare</t>
  </si>
  <si>
    <t>GSF pension expenses</t>
  </si>
  <si>
    <t>Core Crown tax revenue</t>
  </si>
  <si>
    <t>Total Crown investment income</t>
  </si>
  <si>
    <t>ACC portfolio</t>
  </si>
  <si>
    <t>EQC portfolio</t>
  </si>
  <si>
    <t>Advances</t>
  </si>
  <si>
    <t>Receivables</t>
  </si>
  <si>
    <t>Borrowings - sovereign guaranteed</t>
  </si>
  <si>
    <t>Borrowings - non-sovereign guaranteed</t>
  </si>
  <si>
    <t>ASSUMPTIONS THAT ALTER FORECAST YEARS</t>
  </si>
  <si>
    <t>ALLOCATION OF OPERATING &amp; CAPITAL ALLOWANCES</t>
  </si>
  <si>
    <t>Allocate Operating Allowance</t>
  </si>
  <si>
    <t>% allocated to Health</t>
  </si>
  <si>
    <t>% allocated to Education</t>
  </si>
  <si>
    <t>Demographic Growth</t>
  </si>
  <si>
    <t>FISCAL INDICATOR AS % OF NOMINAL GDP (SELECT FROM BOX)</t>
  </si>
  <si>
    <t>Operating Balance to GDP (Total Crown)</t>
  </si>
  <si>
    <t>Total Assets to GDP (Total Crown)</t>
  </si>
  <si>
    <t>Fiscal Indicator as % of Nominal GDP</t>
  </si>
  <si>
    <t>Operating Balance to GDP (Core Crown)</t>
  </si>
  <si>
    <t>Transport and communications</t>
  </si>
  <si>
    <t>Economic and industrial services</t>
  </si>
  <si>
    <t>Primary services</t>
  </si>
  <si>
    <t>Heritage, culture and recreation</t>
  </si>
  <si>
    <t>Housing and community development</t>
  </si>
  <si>
    <t>Core government services</t>
  </si>
  <si>
    <t>Law and order</t>
  </si>
  <si>
    <t>Allowance for New Operating Initiatives</t>
  </si>
  <si>
    <t>Taxation revenue</t>
  </si>
  <si>
    <t xml:space="preserve">09/10 </t>
  </si>
  <si>
    <t>Total Crown expenses by functional classification</t>
  </si>
  <si>
    <t>INDEX</t>
  </si>
  <si>
    <t>FISCAL READY RECKONER</t>
  </si>
  <si>
    <t>FORECAST YEARS</t>
  </si>
  <si>
    <t>Enter new fiscal variables as additions, in $ millions, to the current forecasts.</t>
  </si>
  <si>
    <t>Use negative values for subtractions. Leave entry as zero for unchanged variables.</t>
  </si>
  <si>
    <t>Additions to revenue or expenses apply to the year of addition only.</t>
  </si>
  <si>
    <t>Additions to expenses via operating allowance</t>
  </si>
  <si>
    <t>Additions to assets or liabilities apply not only to that year, but to each following year also.</t>
  </si>
  <si>
    <t>Additions to financial assets</t>
  </si>
  <si>
    <t>Additions to other assets via capital allowance</t>
  </si>
  <si>
    <t>Additions to liabilities other than debt</t>
  </si>
  <si>
    <t>Up to, and inclusive of, 2007/08</t>
  </si>
  <si>
    <t>2008/09 to 2012/13 inclusive</t>
  </si>
  <si>
    <t>Calculated adjustment factors</t>
  </si>
  <si>
    <t>All figures in this section are calculated by formula.</t>
  </si>
  <si>
    <t>SCENARIO CALCULATIONS</t>
  </si>
  <si>
    <t>Age Distributions</t>
  </si>
  <si>
    <t xml:space="preserve">Medium Fertility, Medium Mortality, and Long Term Annual Net Migration of 10,000 </t>
  </si>
  <si>
    <t>Forecast new operating spending</t>
  </si>
  <si>
    <t>GSF Gross Assets</t>
  </si>
  <si>
    <t>GSF Net Pension Liability</t>
  </si>
  <si>
    <t>Property, plant and equipment</t>
  </si>
  <si>
    <t>Forecast new capital spending</t>
  </si>
  <si>
    <t>Total assets</t>
  </si>
  <si>
    <t>Total liabilities</t>
  </si>
  <si>
    <t>PROJECTED STATEMENT OF FINANCIAL PERFORMANCE</t>
  </si>
  <si>
    <t>PROJECTED STATEMENT OF FINANCIAL POSITION</t>
  </si>
  <si>
    <t>ECONOMIC PROJECTIONS ($BILLION, JUNE YEARS)</t>
  </si>
  <si>
    <t>NZS Fund investment income</t>
  </si>
  <si>
    <t>Student loans</t>
  </si>
  <si>
    <t>Total social security and welfare expense</t>
  </si>
  <si>
    <t>CHECK: Last year's Outstanding Loans + Borrowing + Gross Interest - Interest Write-offs - Repayments - Other Write-offs = This year's Outstanding Loans</t>
  </si>
  <si>
    <t>Core Crown expenses by functional classification</t>
  </si>
  <si>
    <t>Core Crown investment income</t>
  </si>
  <si>
    <r>
      <t xml:space="preserve">MODEL ASSUMPTIONS FROM 'SCENARIOS' COLUMN </t>
    </r>
    <r>
      <rPr>
        <b/>
        <sz val="12"/>
        <rFont val="Arial"/>
        <family val="2"/>
      </rPr>
      <t>→</t>
    </r>
  </si>
  <si>
    <t>NOTE N: STUDENT LOANS</t>
  </si>
  <si>
    <r>
      <t>plus</t>
    </r>
    <r>
      <rPr>
        <sz val="10"/>
        <rFont val="Times New Roman"/>
        <family val="1"/>
      </rPr>
      <t xml:space="preserve"> Crown Entity (CE) &amp; State-owned Entity (SOE) property, plant and equipment</t>
    </r>
  </si>
  <si>
    <t>Core Crown non-financial assets excluding property, plant and equipment</t>
  </si>
  <si>
    <t>Total Crown non-financial assets excluding property, plant and equipment</t>
  </si>
  <si>
    <t>NOTE S: NON-DEBT LIABILITIES</t>
  </si>
  <si>
    <r>
      <t xml:space="preserve">plus </t>
    </r>
    <r>
      <rPr>
        <sz val="10"/>
        <rFont val="Times New Roman"/>
        <family val="1"/>
      </rPr>
      <t>Eliminations from Core Crown borrowings - sovereign guaranteed</t>
    </r>
  </si>
  <si>
    <t>Core Crown Gross Debt</t>
  </si>
  <si>
    <t>Gross sovereign-issued debt (GSID)</t>
  </si>
  <si>
    <t>ACC payment weights</t>
  </si>
  <si>
    <t>New Zealand Superannuation Fund (NZSF)</t>
  </si>
  <si>
    <t>ACC COST WEIGHTS FOR PAYMENTS TO CLAIMANTS</t>
  </si>
  <si>
    <t>Cost per head averaged across fiscal years 2001/02 to 2005/06</t>
  </si>
  <si>
    <t>OPERATING &amp; CAPITAL PROVISION</t>
  </si>
  <si>
    <t>Operating Provision (initiatives &amp; cost rises)</t>
  </si>
  <si>
    <t>Capital Provision</t>
  </si>
  <si>
    <t>GROWTH RATES OF PROVISIONS</t>
  </si>
  <si>
    <t>Growth Rate of Operating Provision</t>
  </si>
  <si>
    <t>Growth Rate of Capital Provision</t>
  </si>
  <si>
    <t>If no selection is made for a provision, no growth will be applied to that provision in projected years.</t>
  </si>
  <si>
    <t>Core Crown social security and welfare</t>
  </si>
  <si>
    <t>2022/23</t>
  </si>
  <si>
    <t>FISCAL DRAG</t>
  </si>
  <si>
    <t>Apply elasticity to inflation or real wage growth or both</t>
  </si>
  <si>
    <t>2019/20</t>
  </si>
  <si>
    <t>NZ Superannuation</t>
  </si>
  <si>
    <t>Unemployment benefit</t>
  </si>
  <si>
    <t>Domestic purposes benefit</t>
  </si>
  <si>
    <t>NOTE: Student loans</t>
  </si>
  <si>
    <t>Invalids benefit</t>
  </si>
  <si>
    <t>Sickness benefit</t>
  </si>
  <si>
    <t>USE OF DMO FUNDS TO REDUCE DEBT</t>
  </si>
  <si>
    <t>Amount of excess DMO funds to use, in $billion</t>
  </si>
  <si>
    <t>Reduce debt via use of excess DMO funds</t>
  </si>
  <si>
    <t>Total Crown other expenses</t>
  </si>
  <si>
    <t>To apply fiscal drag to inflation only, use Inflation. To apply fiscal drag to real wage only, use Wage. Neither is applied unless</t>
  </si>
  <si>
    <t>fiscal drag is selected above. Anything other than Inflation or Wage applies full fiscal drag, provided fiscal drag is selected above.</t>
  </si>
  <si>
    <t>Put in amounts, in $ billion, for first projected year values of the Operating and Capital Allowances.</t>
  </si>
  <si>
    <t>These are the economic variables most often altered in scenarios, especially the labour productivity growth in projected years.</t>
  </si>
  <si>
    <t>For annual growth equal to that of Nominal GDP, use GDP. For annual growth equal to that of inflation, use CPI.</t>
  </si>
  <si>
    <t>Present policy ensures NZS stays above a set % of average wage. To model this, use Yes.</t>
  </si>
  <si>
    <t>To model NZS expenditure in projected years with just CPI growth and no wage floor, use No.</t>
  </si>
  <si>
    <t>base</t>
  </si>
  <si>
    <t>If selected value for Inflation Rate, Government 10-year Bond Rate or Unemployment Rate does not match final forecast year value,</t>
  </si>
  <si>
    <t>each converges to selected value at annual rate of change selected below. Enter annual change as a positive value, because model</t>
  </si>
  <si>
    <t>takes into account whether increase or decrease is needed. (Convergence rate immaterial if selection matches final forecast year).</t>
  </si>
  <si>
    <t>To hold gross sovereign-issued debt (GSID) constant in projections until DMO excess funds are exhausted, use Yes.</t>
  </si>
  <si>
    <t>Any other choice will ensure GSID is used as the Core Crown balancing item in all projected years.</t>
  </si>
  <si>
    <t xml:space="preserve">Allocating the Operating Allowance enables individual expenditure categories to be grown. The remaining % allocation goes to </t>
  </si>
  <si>
    <t>to the "Other Expenditure" category. If allocation is not selected, the choice of the allocation %'s is immaterial.</t>
  </si>
  <si>
    <t>Change to Inflation Rate</t>
  </si>
  <si>
    <t>Allocating the Capital Allowances enables individual asset classes to be grown.</t>
  </si>
  <si>
    <t>Core Crown finance costs (including exchange rate losses/[gains])</t>
  </si>
  <si>
    <t>Total Crown finance costs (including exchange rate losses/[gains])</t>
  </si>
  <si>
    <t>Real growth of other non-finance cost expenses</t>
  </si>
  <si>
    <t>SCENARIO NAME:</t>
  </si>
  <si>
    <t>KEY ECONOMIC ASSUMPTIONS</t>
  </si>
  <si>
    <t>Labour Productivity Growth</t>
  </si>
  <si>
    <t>Inflation Rate</t>
  </si>
  <si>
    <t>KEY FISCAL POLICY ASSUMPTIONS</t>
  </si>
  <si>
    <t>Include Fiscal Drag</t>
  </si>
  <si>
    <t>Health</t>
  </si>
  <si>
    <t>Defence</t>
  </si>
  <si>
    <t>Other</t>
  </si>
  <si>
    <t>Unemployment Rate</t>
  </si>
  <si>
    <t>Males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</si>
  <si>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</si>
  <si>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</si>
  <si>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</si>
  <si>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</si>
  <si>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</si>
  <si>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</si>
  <si>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</si>
  <si>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</si>
  <si>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</si>
  <si>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</si>
  <si>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</si>
  <si>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</si>
  <si>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</si>
  <si>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</si>
  <si>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</si>
  <si>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</si>
  <si>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</si>
  <si>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</si>
  <si>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</si>
  <si>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</si>
  <si>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</si>
  <si>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</si>
  <si>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</si>
  <si>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</si>
  <si>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</si>
  <si>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</si>
  <si>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</si>
  <si>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</si>
  <si>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</si>
  <si>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</si>
  <si>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</si>
  <si>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</si>
  <si>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</si>
  <si>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</si>
  <si>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</si>
  <si>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</si>
  <si>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</si>
  <si>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32/33</t>
  </si>
  <si>
    <t>33/34</t>
  </si>
  <si>
    <t>34/35</t>
  </si>
  <si>
    <t>35/36</t>
  </si>
  <si>
    <t>36/37</t>
  </si>
  <si>
    <t>37/38</t>
  </si>
  <si>
    <t>38/39</t>
  </si>
  <si>
    <t>39/40</t>
  </si>
  <si>
    <t>40/41</t>
  </si>
  <si>
    <t>41/42</t>
  </si>
  <si>
    <t>42/43</t>
  </si>
  <si>
    <t>43/44</t>
  </si>
  <si>
    <t>44/45</t>
  </si>
  <si>
    <t>45/46</t>
  </si>
  <si>
    <t>46/47</t>
  </si>
  <si>
    <t>47/48</t>
  </si>
  <si>
    <t>48/49</t>
  </si>
  <si>
    <t>49/50</t>
  </si>
  <si>
    <t>Labour Force Participation</t>
  </si>
  <si>
    <t>GSF Liability (gross discount)</t>
  </si>
  <si>
    <t>92/93</t>
  </si>
  <si>
    <t>93/94</t>
  </si>
  <si>
    <t>94/95</t>
  </si>
  <si>
    <t>Summary description file</t>
  </si>
  <si>
    <t>Fiscal Forecasts</t>
  </si>
  <si>
    <t>Economic Forecasts</t>
  </si>
  <si>
    <t>Demographic Forecasts</t>
  </si>
  <si>
    <t>Benefit Forecasts</t>
  </si>
  <si>
    <t>NZ Superannuation Fund (NZSF)</t>
  </si>
  <si>
    <t>Government Superannuation Fund (GSF)</t>
  </si>
  <si>
    <t>Student Loans Track (TESLA)</t>
  </si>
  <si>
    <t>Health Weights</t>
  </si>
  <si>
    <t>Employment (= LF x (1-Unemployment rate)) (millions)</t>
  </si>
  <si>
    <t>Capital contribution</t>
  </si>
  <si>
    <t>CHECKS: CALCULATIONS COMPARED TO ACTUALS &amp; FORECASTS</t>
  </si>
  <si>
    <t>Core Crown Operating Balance</t>
  </si>
  <si>
    <r>
      <t xml:space="preserve">Total Crown Net Worth (also checks </t>
    </r>
    <r>
      <rPr>
        <sz val="10"/>
        <rFont val="Arial"/>
        <family val="2"/>
      </rPr>
      <t>∆</t>
    </r>
    <r>
      <rPr>
        <sz val="10"/>
        <rFont val="Times New Roman"/>
        <family val="1"/>
      </rPr>
      <t>Net Worth = Operating Balance in proj. yrs)</t>
    </r>
  </si>
  <si>
    <r>
      <t xml:space="preserve">Core Crown Net Worth (also checks </t>
    </r>
    <r>
      <rPr>
        <sz val="10"/>
        <rFont val="Arial"/>
        <family val="2"/>
      </rPr>
      <t>∆</t>
    </r>
    <r>
      <rPr>
        <sz val="10"/>
        <rFont val="Times New Roman"/>
        <family val="1"/>
      </rPr>
      <t>Net Worth = Operating Balance in proj. yrs)</t>
    </r>
  </si>
  <si>
    <r>
      <t>plus</t>
    </r>
    <r>
      <rPr>
        <sz val="10"/>
        <rFont val="Times New Roman"/>
        <family val="1"/>
      </rPr>
      <t xml:space="preserve"> Elimination</t>
    </r>
  </si>
  <si>
    <t>NOTE B: OTHER NON-INVESTMENT INCOME</t>
  </si>
  <si>
    <t>Total Crown other non-investment income</t>
  </si>
  <si>
    <t>Core Crown other non-investment income</t>
  </si>
  <si>
    <t>NOTE C: INVESTMENT INCOME</t>
  </si>
  <si>
    <t>Gross earnings on fund assets</t>
  </si>
  <si>
    <t>Tax paid on earnings on fund assets</t>
  </si>
  <si>
    <t>GSF Pension Expense</t>
  </si>
  <si>
    <t>(Billions of $NZ)</t>
  </si>
  <si>
    <t>(Millions of $NZ)</t>
  </si>
  <si>
    <t>Borrowing</t>
  </si>
  <si>
    <t>Repayments</t>
  </si>
  <si>
    <t>Other Write-Offs</t>
  </si>
  <si>
    <t>Outstanding Loans</t>
  </si>
  <si>
    <t>Invalids Benefit</t>
  </si>
  <si>
    <t>Sickness Benefit</t>
  </si>
  <si>
    <t>Education</t>
  </si>
  <si>
    <t>Domestic Purposes</t>
  </si>
  <si>
    <t>Other Core Crown holdings</t>
  </si>
  <si>
    <t>READY RECKONER (RR)</t>
  </si>
  <si>
    <t>Ready Reckoner match to forecast years</t>
  </si>
  <si>
    <t>Fiscal RR addition to investment income</t>
  </si>
  <si>
    <t>Fiscal RR addition to expenses ex finance costs, via operating allowance</t>
  </si>
  <si>
    <t>Fiscal RR annual addition to gross debt</t>
  </si>
  <si>
    <t>Fiscal RR addition to financial assets</t>
  </si>
  <si>
    <t>Fiscal RR addition to other assets, via capital allowance</t>
  </si>
  <si>
    <t>Fiscal RR addition to liabilities other than debt</t>
  </si>
  <si>
    <t>Write no. of years since 2005/06 for last historical fiscal year, e.g. 1 for 2007/08</t>
  </si>
  <si>
    <t>Forecast for future new spending</t>
  </si>
  <si>
    <t>Borrowings</t>
  </si>
  <si>
    <t>Retirement plan liabilities</t>
  </si>
  <si>
    <t>Total Sovereign-Guaranteed Debt</t>
  </si>
  <si>
    <t>Core Crown borrowings (includes DMO &amp; RB trade settlements)</t>
  </si>
  <si>
    <t>Net core Crown debt, where financial assets subtracted include those of NZS Fund</t>
  </si>
  <si>
    <t>Net core Crown debt, where financial assets subtracted exclude those of NZS Fund</t>
  </si>
  <si>
    <t>Changes to DMO borrowing due to settlement cash</t>
  </si>
  <si>
    <t>Core Crown intangible assets and goodwill</t>
  </si>
  <si>
    <t>KiwiSaver subsidies</t>
  </si>
  <si>
    <t>Nominal value (including accrued interest)</t>
  </si>
  <si>
    <t>Opening book value</t>
  </si>
  <si>
    <t>Initial fair value write down on new borrowings</t>
  </si>
  <si>
    <t>Revenue</t>
  </si>
  <si>
    <t>Other expenses</t>
  </si>
  <si>
    <t>Tax expenses</t>
  </si>
  <si>
    <t>Gains/(losses)</t>
  </si>
  <si>
    <t>Other movements in reserves</t>
  </si>
  <si>
    <t>NOTE: Provisions</t>
  </si>
  <si>
    <t>Total Corporate Tax</t>
  </si>
  <si>
    <t>Total Other Income Tax</t>
  </si>
  <si>
    <t>Total Goods and Services Tax (GST)</t>
  </si>
  <si>
    <t>Total Other Indirect Taxation</t>
  </si>
  <si>
    <t>√</t>
  </si>
  <si>
    <t>FORECAST STATEMENT OF FINANCIAL PERFORMANCE</t>
  </si>
  <si>
    <t>Total Gains/(Losses) plus Net Surplus/(Deficit) from associates &amp; joint ventures</t>
  </si>
  <si>
    <t>FORECAST STATEMENT OF SEGMENTS - CORE CROWN DATA</t>
  </si>
  <si>
    <t>Interest revenue and dividends</t>
  </si>
  <si>
    <t>Total Gains/(losses)</t>
  </si>
  <si>
    <t>Gain/(loss) from discontinued operations</t>
  </si>
  <si>
    <t>CHECK: Total = Taxation Revenue in Financial Performance Statement</t>
  </si>
  <si>
    <t>CHECK: CC Operating Balance = Revenue - Expenses + Gains and Surpluses</t>
  </si>
  <si>
    <t>Other financial assets</t>
  </si>
  <si>
    <t>Property, plant &amp; equipment</t>
  </si>
  <si>
    <t>Equity accounted investments</t>
  </si>
  <si>
    <t>Other assets</t>
  </si>
  <si>
    <t>Total Core Crown Assets</t>
  </si>
  <si>
    <t>Total Core Crown Revenue excluding gains</t>
  </si>
  <si>
    <t>Other Liabilities</t>
  </si>
  <si>
    <t>Total Core Crown Liabilities</t>
  </si>
  <si>
    <t>CHECK: CC Net Worth = Assets - Liabilities</t>
  </si>
  <si>
    <t>Attributable to minority interest</t>
  </si>
  <si>
    <t>CHECK: Operating Balance = Revenue - Expenses + Gains and Surpluses</t>
  </si>
  <si>
    <t>Core Crown Expenses excluding losses</t>
  </si>
  <si>
    <t>FORECAST STATEMENT OF FINANCIAL POSITION</t>
  </si>
  <si>
    <t>CHECK: Net Worth = Total Assets - Total Liabilities</t>
  </si>
  <si>
    <t>FORECAST STATEMENT OF BORROWINGS</t>
  </si>
  <si>
    <t>NZS Fund holdings of sovereign-issued debt and NZS Fund borrowings</t>
  </si>
  <si>
    <t>CHECK: GSID ex RB cash = CC borrowings + NZSF debt - RB cash + Chgs DMO borrow</t>
  </si>
  <si>
    <t xml:space="preserve">Crown Entities </t>
  </si>
  <si>
    <t xml:space="preserve">State-owned Enterprises </t>
  </si>
  <si>
    <t>Inter-segment Eliminations</t>
  </si>
  <si>
    <t>CHECK: Total Crown - Core Crown = CE + SOE - Elimination</t>
  </si>
  <si>
    <t>NOTE D: SOCIAL SECURITY AND WELFARE</t>
  </si>
  <si>
    <t>Crown entity social welfare (mainly ACC related), including eliminations</t>
  </si>
  <si>
    <t>% allocated to Law and order</t>
  </si>
  <si>
    <t>% allocated to Defence</t>
  </si>
  <si>
    <t>% allocated to Transport and communications</t>
  </si>
  <si>
    <t>NOTE D.1: NZS PARAMETERS</t>
  </si>
  <si>
    <t>NOTE E: HEALTH</t>
  </si>
  <si>
    <t>NOTE E.1: HEALTH MALE DEMOGRAPHICS (USES COST WEIGHTS)</t>
  </si>
  <si>
    <t>NOTE E.2: HEALTH FEMALE DEMOGRAPHICS (USES COST WEIGHTS)</t>
  </si>
  <si>
    <t>NOTE F: EDUCATION</t>
  </si>
  <si>
    <t>NOTE G: OTHER EXPENDITURE</t>
  </si>
  <si>
    <t>NOTE H: FINANCE COSTS (INCLUDES NET EXCHANGE LOSSES/[GAINS])</t>
  </si>
  <si>
    <t>NOTE I: ANNUAL INCREMENTS TO OPERATING PROVISION</t>
  </si>
  <si>
    <t>Denotes cell picked up from Data worksheet for Actual &amp; Forecast years</t>
  </si>
  <si>
    <t>Used in 'Other taxes' total</t>
  </si>
  <si>
    <t>Denotes this cell directly referenced by itself in main model</t>
  </si>
  <si>
    <t>TC means Total Crown, CC means Core Crown, CE means Crown Entity, SOE means State-owned Enterprise</t>
  </si>
  <si>
    <t>Used in TC 'Total Gains/(Losses) plus Net Surplus/(Deficit) from associates &amp; joint ventures' total</t>
  </si>
  <si>
    <t>Total Crown Operating Balance</t>
  </si>
  <si>
    <t>Used in CC 'Total Gains/(Losses) plus Net Surplus/(Deficit) from associates &amp; joint ventures' total</t>
  </si>
  <si>
    <t>CHECK:Net CC debt ex NZSF asset=CC borrow+NZSF debt-CC fin asset+NZSF fin asset</t>
  </si>
  <si>
    <r>
      <rPr>
        <i/>
        <sz val="10"/>
        <rFont val="Times New Roman"/>
        <family val="1"/>
      </rPr>
      <t xml:space="preserve">add back </t>
    </r>
    <r>
      <rPr>
        <sz val="10"/>
        <rFont val="Times New Roman"/>
        <family val="1"/>
      </rPr>
      <t>NZS Fund financial assets</t>
    </r>
  </si>
  <si>
    <t>Used in TC 'Other non-investment income' total</t>
  </si>
  <si>
    <t>Used in CC 'Other non-investment income' total</t>
  </si>
  <si>
    <t>Used in 'CE &amp; SOE investment income' total</t>
  </si>
  <si>
    <t>Only used as check to 'Tax' note below</t>
  </si>
  <si>
    <t>Only used as check to 'Interest Revenue and Dividends' note below</t>
  </si>
  <si>
    <t>DATA FROM NEW ZEALAND SUPERANNUATION MODEL</t>
  </si>
  <si>
    <t>Used in 'Domestic Purposes Benefit, Invalid's Benefit and Sickness Benefit' total</t>
  </si>
  <si>
    <t>Used in TC 'Other Expenses' total</t>
  </si>
  <si>
    <t>Only used in summation as identical to Core Crown value</t>
  </si>
  <si>
    <t>Used in CHECK in main model</t>
  </si>
  <si>
    <t>NOTE J: CASH AND CASH EQUIVALENTS AND RECEIVABLES</t>
  </si>
  <si>
    <t>Total Crown cash and cash equivalents</t>
  </si>
  <si>
    <t>UNPUBLISHED SEGMENT ACCOUNTS - CORE CROWN DATA</t>
  </si>
  <si>
    <t>CHECK: CC Other financial assets (Segments) = Mktble Sec + Share Invest + Advances</t>
  </si>
  <si>
    <t>NOTE K: MARKETABLE SECURITIES, DERIVATIVES &amp; SHARE INVESTMENTS</t>
  </si>
  <si>
    <t>NOTE: Interest revenue and Dividends</t>
  </si>
  <si>
    <t>NOTE: Financial assets by portfolio</t>
  </si>
  <si>
    <t>Other Crown Entities</t>
  </si>
  <si>
    <t>CHECK: Total = Cash+Recvbl+Mkt sec+Shares+Advs in Financial Position Statement</t>
  </si>
  <si>
    <r>
      <t>plus</t>
    </r>
    <r>
      <rPr>
        <sz val="10"/>
        <rFont val="Times New Roman"/>
        <family val="1"/>
      </rPr>
      <t xml:space="preserve"> Crown Entities marketable securities, derivatives in gain &amp; share investments</t>
    </r>
  </si>
  <si>
    <r>
      <t>plus</t>
    </r>
    <r>
      <rPr>
        <sz val="10"/>
        <rFont val="Times New Roman"/>
        <family val="1"/>
      </rPr>
      <t xml:space="preserve"> SOEs marketable securities, derivatives in gain &amp; share investments</t>
    </r>
  </si>
  <si>
    <t>Amount borrowed in the year</t>
  </si>
  <si>
    <t>Closing book value</t>
  </si>
  <si>
    <t>CHECK: Clos bk val = Op bk val+Borr- FV w-d -Repay+Int unwind-Impair+Oth mvt</t>
  </si>
  <si>
    <t>NOTE: New Zealand Superannuation Fund</t>
  </si>
  <si>
    <t>Closing net worth</t>
  </si>
  <si>
    <t>CHECK: Clos net wth = Op net wth +Rev -Oth exp -Tax +Gain/loss +Contrib +Oth mvt</t>
  </si>
  <si>
    <t>Eliminated NZS Fund expenses removed to calculate OBEGAL excl NZSF</t>
  </si>
  <si>
    <r>
      <t>plus</t>
    </r>
    <r>
      <rPr>
        <sz val="10"/>
        <rFont val="Times New Roman"/>
        <family val="1"/>
      </rPr>
      <t xml:space="preserve"> Revenue</t>
    </r>
  </si>
  <si>
    <r>
      <t>less</t>
    </r>
    <r>
      <rPr>
        <sz val="10"/>
        <rFont val="Times New Roman"/>
        <family val="1"/>
      </rPr>
      <t xml:space="preserve"> Tax expense</t>
    </r>
  </si>
  <si>
    <r>
      <t>less</t>
    </r>
    <r>
      <rPr>
        <sz val="10"/>
        <rFont val="Times New Roman"/>
        <family val="1"/>
      </rPr>
      <t xml:space="preserve"> Other expenses</t>
    </r>
  </si>
  <si>
    <r>
      <t>plus</t>
    </r>
    <r>
      <rPr>
        <sz val="10"/>
        <rFont val="Times New Roman"/>
        <family val="1"/>
      </rPr>
      <t xml:space="preserve"> Other movements in reserves</t>
    </r>
  </si>
  <si>
    <r>
      <t>plus</t>
    </r>
    <r>
      <rPr>
        <sz val="10"/>
        <rFont val="Times New Roman"/>
        <family val="1"/>
      </rPr>
      <t xml:space="preserve"> Gains/(losses)</t>
    </r>
  </si>
  <si>
    <t>NOTE L: NEW ZEALAND SUPERANNUATION FUND (NZSF)</t>
  </si>
  <si>
    <t>NOTE D.2: ACC PAYMENTS DEMOGRAPHIC DRIVER (USES COST WEIGHTS)</t>
  </si>
  <si>
    <r>
      <rPr>
        <i/>
        <sz val="10"/>
        <rFont val="Times New Roman"/>
        <family val="1"/>
      </rPr>
      <t>plus</t>
    </r>
    <r>
      <rPr>
        <sz val="10"/>
        <rFont val="Times New Roman"/>
        <family val="1"/>
      </rPr>
      <t xml:space="preserve"> Amount borrowed in the year</t>
    </r>
  </si>
  <si>
    <r>
      <rPr>
        <i/>
        <sz val="10"/>
        <rFont val="Times New Roman"/>
        <family val="1"/>
      </rPr>
      <t>less</t>
    </r>
    <r>
      <rPr>
        <sz val="10"/>
        <rFont val="Times New Roman"/>
        <family val="1"/>
      </rPr>
      <t xml:space="preserve"> Initial fair value write down on new borrowings</t>
    </r>
  </si>
  <si>
    <r>
      <rPr>
        <i/>
        <sz val="10"/>
        <rFont val="Times New Roman"/>
        <family val="1"/>
      </rPr>
      <t>less</t>
    </r>
    <r>
      <rPr>
        <sz val="10"/>
        <rFont val="Times New Roman"/>
        <family val="1"/>
      </rPr>
      <t xml:space="preserve"> Repayments made during the year</t>
    </r>
  </si>
  <si>
    <r>
      <rPr>
        <i/>
        <sz val="10"/>
        <rFont val="Times New Roman"/>
        <family val="1"/>
      </rPr>
      <t>plus</t>
    </r>
    <r>
      <rPr>
        <sz val="10"/>
        <rFont val="Times New Roman"/>
        <family val="1"/>
      </rPr>
      <t xml:space="preserve"> Interest unwind</t>
    </r>
  </si>
  <si>
    <r>
      <rPr>
        <i/>
        <sz val="10"/>
        <rFont val="Times New Roman"/>
        <family val="1"/>
      </rPr>
      <t>less</t>
    </r>
    <r>
      <rPr>
        <sz val="10"/>
        <rFont val="Times New Roman"/>
        <family val="1"/>
      </rPr>
      <t xml:space="preserve"> Impairment</t>
    </r>
  </si>
  <si>
    <r>
      <rPr>
        <i/>
        <sz val="10"/>
        <rFont val="Times New Roman"/>
        <family val="1"/>
      </rPr>
      <t>plus</t>
    </r>
    <r>
      <rPr>
        <sz val="10"/>
        <rFont val="Times New Roman"/>
        <family val="1"/>
      </rPr>
      <t xml:space="preserve"> Other movements</t>
    </r>
  </si>
  <si>
    <t>Other Core Crown investment income</t>
  </si>
  <si>
    <t>SOE &amp; CE investment income (including inter-segment eliminations)</t>
  </si>
  <si>
    <r>
      <t>plus</t>
    </r>
    <r>
      <rPr>
        <sz val="10"/>
        <rFont val="Times New Roman"/>
        <family val="1"/>
      </rPr>
      <t xml:space="preserve"> NZS Fund holdings of sovereign-issued debt and NZS Fund borrowings</t>
    </r>
  </si>
  <si>
    <t>Provision for ETS credits</t>
  </si>
  <si>
    <t>ETS revenue</t>
  </si>
  <si>
    <t>ETS expenses</t>
  </si>
  <si>
    <t>NOTE M: ADVANCES</t>
  </si>
  <si>
    <t>Student Loans</t>
  </si>
  <si>
    <t>Core Crown advances</t>
  </si>
  <si>
    <t>Revenue from Emission Trading Scheme</t>
  </si>
  <si>
    <t>Other Core Crown non-investment income</t>
  </si>
  <si>
    <t>Expenses related to Emission Trading Scheme</t>
  </si>
  <si>
    <t>Total Crown advances</t>
  </si>
  <si>
    <t>NZS Fund financial assets</t>
  </si>
  <si>
    <t>NOTE L.1: OTHER NZS FUND PARAMETERS</t>
  </si>
  <si>
    <t>NOTE O: PROPERTY, PLANT &amp; EQUIPMENT</t>
  </si>
  <si>
    <t>NOTE P: ANNUAL INCREMENTS TO CAPITAL PROVISION</t>
  </si>
  <si>
    <t>NOTE Q: OTHER NON-FINANCIAL ASSETS</t>
  </si>
  <si>
    <t>NOTE R: EMISSION TRADING SCHEME (ETS) &amp; KYOTO PROTOCOL</t>
  </si>
  <si>
    <t>Other Core Crown expenditure excl. finance costs but incl. top-down adjustment</t>
  </si>
  <si>
    <t>Core Crown other assets including top-down capital adjustment</t>
  </si>
  <si>
    <t>Government Superannuation Fund</t>
  </si>
  <si>
    <t>Provisions for Kyoto &amp; ETS credits</t>
  </si>
  <si>
    <t>Other Core Crown non-debt liabilities</t>
  </si>
  <si>
    <t>NOTE: Insurance Liabilities</t>
  </si>
  <si>
    <t>ACC liability</t>
  </si>
  <si>
    <t>EQC liability</t>
  </si>
  <si>
    <t>Other insurance liabilities</t>
  </si>
  <si>
    <t>CHECK: ACC+EQC+Other ins liab =Insurance Liabilities in Fincl Position Statement</t>
  </si>
  <si>
    <r>
      <t>plus</t>
    </r>
    <r>
      <rPr>
        <sz val="10"/>
        <rFont val="Times New Roman"/>
        <family val="1"/>
      </rPr>
      <t xml:space="preserve"> Insurance liabilities (dominated by ACC)</t>
    </r>
  </si>
  <si>
    <r>
      <t>plus</t>
    </r>
    <r>
      <rPr>
        <sz val="10"/>
        <rFont val="Times New Roman"/>
        <family val="1"/>
      </rPr>
      <t xml:space="preserve"> Other Non-Core Crown non-debt liabilities</t>
    </r>
  </si>
  <si>
    <t>NOTE T: DEBT, INCLUDING THE GSID INDICATOR</t>
  </si>
  <si>
    <t>Total Non-Sovereign-Guaranteed Debt</t>
  </si>
  <si>
    <t>CHECK: Sov-Guar Debt + Non-Sov-Guar Debt = Borrowings in Fncl Position Statement</t>
  </si>
  <si>
    <t>NOTE T.2: DMO EXCESS FUNDS TO REDUCE GSID CONSTANT</t>
  </si>
  <si>
    <t>Taxation Revenue</t>
  </si>
  <si>
    <t>OBEGAL excluding NZS Fund retained revenue</t>
  </si>
  <si>
    <t>Liabilities excluding Total Borrowings</t>
  </si>
  <si>
    <t>Core Crown Borrowings</t>
  </si>
  <si>
    <t>Liabilities excluding Core Crown Borrowings</t>
  </si>
  <si>
    <t>Net Core Crown debt (excluding NZS Fund)</t>
  </si>
  <si>
    <t>Taxation Revenue to GDP (Total Crown)</t>
  </si>
  <si>
    <t>OBEGAL excluding NZS Fund retained revenue to GDP (Total Crown)</t>
  </si>
  <si>
    <t>Taxation Revenue to GDP (Core Crown)</t>
  </si>
  <si>
    <t>Total Assets</t>
  </si>
  <si>
    <t>Total Borrowings (Gross Debt) to GDP (Total Crown)</t>
  </si>
  <si>
    <t>Total Borrowings (Gross Debt)</t>
  </si>
  <si>
    <t>Liabilities excluding Total Borrowings to GDP (Total Crown)</t>
  </si>
  <si>
    <t>Total Net Worth to GDP (Total Crown)</t>
  </si>
  <si>
    <t>Core Crown Borrowings to GDP (Core Crown)</t>
  </si>
  <si>
    <t>Liabilities excluding Core Crown Borrowings to GDP (Core Crown)</t>
  </si>
  <si>
    <t>Total Net Worth to GDP (Core Crown)</t>
  </si>
  <si>
    <t>Gross Sovereign-issued Debt (GSID) to GDP (Core Crown)</t>
  </si>
  <si>
    <t>Net Core Crown Debt (including NZS Fund) to GDP (Core Crown)</t>
  </si>
  <si>
    <t>Net Core Crown Debt (excluding NZS Fund) to GDP (Core Crown)</t>
  </si>
  <si>
    <t>Core Crown financial assets excluding receivables excluded from Net Debt measure</t>
  </si>
  <si>
    <t>Student Loans Nominal Value (includes Accrued Interest)</t>
  </si>
  <si>
    <r>
      <t>less</t>
    </r>
    <r>
      <rPr>
        <sz val="10"/>
        <rFont val="Times New Roman"/>
        <family val="1"/>
      </rPr>
      <t xml:space="preserve"> DMO &amp; RBNZ Trade Settlements incl. in GSID</t>
    </r>
  </si>
  <si>
    <t>Non-tax expenses of NZS Fund after elimination</t>
  </si>
  <si>
    <t>Not actually referenced at all, as calculated in model and check uses operating balance</t>
  </si>
  <si>
    <t>To restore to the Operating Balance in projected years means adding back Total Gains/(Losses).</t>
  </si>
  <si>
    <t>Gross December quarter average wage ($ per week)</t>
  </si>
  <si>
    <t>All monetary values, unless otherwise stated, are in units of billions of $NZ</t>
  </si>
  <si>
    <t>Net (of tax) December quarter average wage ($ per week)</t>
  </si>
  <si>
    <t>Net NZS married individual ($ per week)</t>
  </si>
  <si>
    <t>Used in 'CC Other Core Crown expenditure excl. finance costs but incl. top-down adjustment' total</t>
  </si>
  <si>
    <t>Used in TC 'Marketable securities, derivatives in gain and share investments' total</t>
  </si>
  <si>
    <t>Used in TC 'Non-financial assets excluding property, plant and equipment' total</t>
  </si>
  <si>
    <t>Used in TC 'Other Non-Core Crown non-debt liabilities' total</t>
  </si>
  <si>
    <t>Only used as check to 'Forecast Statement of Borrowings' below</t>
  </si>
  <si>
    <t>Used in CHECK in main model and in this 'Forecast Statement of Financial Position'</t>
  </si>
  <si>
    <t>Used in calculation of 'Core Crown financial assets excluding receivables excluded from Net Debt measure'</t>
  </si>
  <si>
    <t>Used in CHECK in main model and in this 'Forecast Statement of Borrowings'</t>
  </si>
  <si>
    <t>Used in calculation of 'NOTE T.1: RB SETTLEMENT CASH EXCLUDED FROM GSID'</t>
  </si>
  <si>
    <t>Only used as check in this 'Forecast Statement of Borrowings'</t>
  </si>
  <si>
    <t>Used in calculation of 'Core Crown marketable securities, derivatives in gain and share investments'</t>
  </si>
  <si>
    <t>Used in 'Core Crown Core Crown other assets including top-down capital adjustment' total</t>
  </si>
  <si>
    <t>Used in calculation of 'DMO &amp; RBNZ Trade Settlements incl. in GSID'</t>
  </si>
  <si>
    <t>Used in calculation of 'Other Core Crown non-debt liabilities'</t>
  </si>
  <si>
    <t>Used in CHECK in main model and in this 'Forecast Statement of Segments'</t>
  </si>
  <si>
    <t>Used in calculation of all components of CC 'Marketable securities, derivatives in gain and share investments'</t>
  </si>
  <si>
    <t>Used in calculation of all components of TC 'Marketable securities, derivatives in gain and share investments'</t>
  </si>
  <si>
    <t>Only used as check on next row</t>
  </si>
  <si>
    <t xml:space="preserve">First year used to start in model but otherwise just used as check to closing book value below </t>
  </si>
  <si>
    <t xml:space="preserve">First year used to start in model but otherwise just used as check to closing net worth below </t>
  </si>
  <si>
    <t>Used in 'Insurance liabilities (dominated by ACC)' total</t>
  </si>
  <si>
    <t>Only used in check on next row</t>
  </si>
  <si>
    <t>Used directly for GSF liability and in TC 'Other Non-Core Crown non-debt liabilities' total</t>
  </si>
  <si>
    <t>CHECK: Provision for ETS credits = Cumulative sum of (ETS expenses - ETS revenue)</t>
  </si>
  <si>
    <t>Only used as check on 'Other financial assets' in 'Forecast Statement of Segments'</t>
  </si>
  <si>
    <t>Demographic Assumptions (2008 Base)</t>
  </si>
  <si>
    <t>Assumed starting point</t>
  </si>
  <si>
    <t>Government 5-year Bond Rate</t>
  </si>
  <si>
    <t>Average Weekly Hours Worked</t>
  </si>
  <si>
    <t>Overlay Capital Provision From Track</t>
  </si>
  <si>
    <t>CAPITAL TRACK</t>
  </si>
  <si>
    <t>Additions to source deductions tax revenue</t>
  </si>
  <si>
    <t>Additions to corporate tax revenue</t>
  </si>
  <si>
    <t>Additions to other tax revenue</t>
  </si>
  <si>
    <t>Additions to other social welfare expenditure</t>
  </si>
  <si>
    <t>Fiscal RR addition to tax revenue via source deductions</t>
  </si>
  <si>
    <t>Fiscal RR addition to tax revenue via corporate tax</t>
  </si>
  <si>
    <t>Fiscal RR addition to tax revenue via other tax</t>
  </si>
  <si>
    <t>Fiscal RR addition to operating balance</t>
  </si>
  <si>
    <t>Fiscal RR annual addition to gross debt excluding finance costs</t>
  </si>
  <si>
    <t>Fiscal RR total addition to gross debt</t>
  </si>
  <si>
    <t>Economic RR addition to operating balance</t>
  </si>
  <si>
    <t>Total RR addition to operating balance</t>
  </si>
  <si>
    <t>Total RR addition to gross debt</t>
  </si>
  <si>
    <t>NZS Fund addition to investment income</t>
  </si>
  <si>
    <t>NZS Fund addition to total gains/(losses)</t>
  </si>
  <si>
    <t>NZS Fund addition to operating balance</t>
  </si>
  <si>
    <t>NZS Fund addition to gross debt</t>
  </si>
  <si>
    <t>NZS Fund addition to net worth</t>
  </si>
  <si>
    <t>Fiscal RR addition to expenses ex finance costs via New Zealand Superannuation</t>
  </si>
  <si>
    <t>Fiscal RR addition to expenses ex finance costs via other social welfare</t>
  </si>
  <si>
    <t>NZS Fund RR</t>
  </si>
  <si>
    <t>As the operating allowance is cumulative, additions to any year apply to future years too.</t>
  </si>
  <si>
    <t>NEW ZEALAND SUPERANNUATION FUND READY RECKONER</t>
  </si>
  <si>
    <t>ALTERNATIVE NZS FUND TRACK</t>
  </si>
  <si>
    <t>NZS Fund addition to eliminated expenses</t>
  </si>
  <si>
    <t>NZS Fund addition to tax (only affects Fund balance, as eliminated from tax)</t>
  </si>
  <si>
    <t>NZSF addn to contributions (only affects Fund balance, as total asset impacts debt)</t>
  </si>
  <si>
    <t>NZS Fund addition to financial assets</t>
  </si>
  <si>
    <t>NZS Fund addition to non-financial assets</t>
  </si>
  <si>
    <t>Fiscal RR total addition to net debt (excluding NZS Fund financial assets)</t>
  </si>
  <si>
    <t>NZS Fund addition to net debt (excluding NZS Fund financial assets)</t>
  </si>
  <si>
    <t>Total RR addition to net debt (excluding NZS Fund financial assets)</t>
  </si>
  <si>
    <t>NZSF addn to other movements in reserves (only affects Fund balance - see above)</t>
  </si>
  <si>
    <t>NZS Fund annual addition to gross debt excluding finance costs</t>
  </si>
  <si>
    <t>NZS Fund annual addition to gross debt</t>
  </si>
  <si>
    <t>Total RR addition to net debt (including NZS Fund financial assets)</t>
  </si>
  <si>
    <t>Government 5-year Bond Rate (4-quarter average)</t>
  </si>
  <si>
    <t>Enter alternative economic forecasts, in $ billions as in the "Data" worksheet.</t>
  </si>
  <si>
    <t>Original economic forecasts, picked up by formula from "Data" worksheet.</t>
  </si>
  <si>
    <t>THE FISCAL STRATEGY MODEL (FSM) - BUDGET ECONOMIC &amp; FISCAL UPDATE (BEFU) 2009 VERSION</t>
  </si>
  <si>
    <t>Budget Economic and Fiscal Update (BEFU) 2009 data and forecasts</t>
  </si>
  <si>
    <t>Final BEFU 2009</t>
  </si>
  <si>
    <t xml:space="preserve">Projections produced by Statistics New Zealand for Treasury. Projection period covers 2008-2061, </t>
  </si>
  <si>
    <t>with 2008 as the base year and updated for historical years with Statistics New Zealand updates.</t>
  </si>
  <si>
    <t>BEFU 2009 version from the Government Actuary</t>
  </si>
  <si>
    <t>Final BEFU 2009 track from Inland Revenue Department. Beyond that projected at population growth.</t>
  </si>
  <si>
    <t>Change in 5-year Bond rate in % points</t>
  </si>
  <si>
    <t>Budget 2009: ECONOMIC AND FISCAL DATA</t>
  </si>
  <si>
    <t>New Zealand Debt Management Office (NZ DMO)</t>
  </si>
  <si>
    <t>Reserve Bank</t>
  </si>
  <si>
    <t>Core Crown intra-segment eliminations</t>
  </si>
  <si>
    <t>Crown Entities intra-segment eliminations</t>
  </si>
  <si>
    <t>Inter-segment eliminations</t>
  </si>
  <si>
    <t>New Zealand  Debt Management Office (DMO)</t>
  </si>
  <si>
    <t>Reserve Bank liquidity management</t>
  </si>
  <si>
    <r>
      <rPr>
        <i/>
        <sz val="10"/>
        <rFont val="Times New Roman"/>
        <family val="1"/>
      </rPr>
      <t>less</t>
    </r>
    <r>
      <rPr>
        <sz val="10"/>
        <rFont val="Times New Roman"/>
        <family val="1"/>
      </rPr>
      <t xml:space="preserve"> Core Crown financial assets excluding advances</t>
    </r>
  </si>
  <si>
    <t>Economic base</t>
  </si>
  <si>
    <t>To get new economic base from "ReadyReckoner",</t>
  </si>
  <si>
    <t>without flow-on effects to fiscal variables, set to "Yes" and Economic RR to "No"</t>
  </si>
  <si>
    <t>Additions to gross NZ Superannuation expenditure</t>
  </si>
  <si>
    <t>Additions to tax on NZ Superannuation expenditure</t>
  </si>
  <si>
    <t>Enter alternative net wage &amp; NZS parameters, in $ p.w., as in the "Data" worksheet.</t>
  </si>
  <si>
    <t>Net NZS for married individual</t>
  </si>
  <si>
    <t>Original net wage &amp; NZS parameters, picked up by formula from "Data" worksheet.</t>
  </si>
  <si>
    <t>ratio of GDP annual % growth, scenario to base</t>
  </si>
  <si>
    <t>cumulative ratio of GDP annual % growth</t>
  </si>
  <si>
    <t>ratio of 5-year Bond rate, scenario to base</t>
  </si>
  <si>
    <t>ratio of CPI annual % growth, scenario to base</t>
  </si>
  <si>
    <t>cumulative ratio of CPI annual % growth</t>
  </si>
  <si>
    <t>Unemployed numbers ratio for UB recipient change</t>
  </si>
  <si>
    <t>cumulative ratio of average wage annual % growth</t>
  </si>
  <si>
    <t>Fiscal RR addition to finance costs from non-finance cost addition to debt</t>
  </si>
  <si>
    <t>Fiscal RR addition to finance costs from finance cost addition to debt</t>
  </si>
  <si>
    <t>Fiscal RR addition to finance costs from previous year additions to debt</t>
  </si>
  <si>
    <t>Economic RR addition to finance costs from non-finance cost addition to debt</t>
  </si>
  <si>
    <t>Economic RR addition to finance costs from finance cost addition to debt</t>
  </si>
  <si>
    <t>Economic RR addition to finance costs from previous year additions to debt</t>
  </si>
  <si>
    <t>NZS Fund addition to finance costs from non-finance cost addn to debt</t>
  </si>
  <si>
    <t>NZS Fund addition to finance costs from finance cost addition to debt</t>
  </si>
  <si>
    <t>NZS Fund addition to finance costs from previous years addition to debt</t>
  </si>
  <si>
    <t>Economic RR annual addition to gross debt excluding finance costs</t>
  </si>
  <si>
    <t>Economic RR total addition to gross debt</t>
  </si>
  <si>
    <t>Economic RR total addition to net debt (excluding NZS Fund financial assets)</t>
  </si>
  <si>
    <t>Economic RR addition to net worth</t>
  </si>
  <si>
    <t>ratio of labour productivity growth, scenario to base</t>
  </si>
  <si>
    <t>cumulative ratio of lab productivity ann % growth</t>
  </si>
  <si>
    <t>ratio of avg wage ann % growth, scenario to base</t>
  </si>
  <si>
    <t>This demographic growth is estimated to be $320m over the projection period.</t>
  </si>
  <si>
    <t>$0.847 billion. This is equivalent to approx. $1.2 billion when demographic growth from the model is added to expenditure.</t>
  </si>
  <si>
    <t>$1.65 billion, GST exclusive from 2013/14 to 2015/16. From 2016/17 it is $955 million, GST exclusive,</t>
  </si>
  <si>
    <t>growing at the rate of inflation.</t>
  </si>
  <si>
    <t>Net debt</t>
  </si>
  <si>
    <t>Net debt (excluding the New Zealand Superannuation Fund and Advances) is the new indicator used to assess</t>
  </si>
  <si>
    <t>Adjustment to GSID</t>
  </si>
  <si>
    <t>GSID was previously adjusted for Reserve Bank (RB) settlement cash alone. In the model GSID is now adjusted for both</t>
  </si>
  <si>
    <t>so bills are now excluded from GSID on the same basis as settlement cash.</t>
  </si>
  <si>
    <t xml:space="preserve">RB settlement cash and RB bills. This was done because RB settlement cash and bills were seen to be functionally equivalent, </t>
  </si>
  <si>
    <t>GSID excluding Reserve Bank settlement cash and bills to GDP (Core Crown)</t>
  </si>
  <si>
    <t>Gross sovereign-issued debt excluding Reserve Bank settlement cash and bills</t>
  </si>
  <si>
    <t>GSID excluding Reserve Bank settlement cash and bills</t>
  </si>
  <si>
    <t>NOTE T.1: RB SETTLEMENT CASH AND BILLS EXCLUDED FROM GSID</t>
  </si>
  <si>
    <t xml:space="preserve">whether the Crown is meeting its long term fiscal objectives. The indicator used previously was GSID (Gross sovereign-issued debt) </t>
  </si>
  <si>
    <t>excluding Reserve Bank settlement cash.</t>
  </si>
  <si>
    <t>option</t>
  </si>
  <si>
    <t>option2</t>
  </si>
  <si>
    <t>Changes to Ready Reckoner</t>
  </si>
  <si>
    <t>allowance in one year is now automatically carried through to future baselines.</t>
  </si>
  <si>
    <t>Track based on Final BEFU 2009 nominal GDP and net-of-tax NZS expenditure tracks.</t>
  </si>
  <si>
    <t>Projected using BEFU 2009 Student Loan track beyond the forecast horizon, i.e. from 2013/14 onwards</t>
  </si>
  <si>
    <t>Fiscal Drag Assumption</t>
  </si>
  <si>
    <t>Full fiscal drag on source deductions tax revenue is assumed for the duration of the projection period. An elasticity of 1.35 is applied.</t>
  </si>
  <si>
    <t>baseline expenditure, the Ready Reckoner has been updated to reflect this. This means that a change in the operating</t>
  </si>
  <si>
    <t xml:space="preserve">As the operating allowance is cumulative, i.e. the current year's operating allowance is part of future years'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</si>
</sst>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%"/>
    <numFmt numFmtId="167" formatCode="0.0"/>
    <numFmt numFmtId="168" formatCode="#,##0.0"/>
    <numFmt numFmtId="169" formatCode="0.0000%"/>
    <numFmt numFmtId="170" formatCode="0.0000"/>
    <numFmt numFmtId="171" formatCode="#,##0.000"/>
    <numFmt numFmtId="172" formatCode="#,##0.00000"/>
    <numFmt numFmtId="173" formatCode="_-* #,##0_-;\-* #,##0_-;_-* &quot;-&quot;??_-;_-@_-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MS Sans Serif"/>
      <family val="2"/>
    </font>
    <font>
      <b/>
      <sz val="10"/>
      <color indexed="20"/>
      <name val="MS Sans Serif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Arial"/>
      <family val="2"/>
    </font>
    <font>
      <sz val="18"/>
      <name val="Impact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4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Alignment="1">
      <alignment/>
    </xf>
    <xf numFmtId="166" fontId="5" fillId="24" borderId="7" xfId="85" applyNumberFormat="1" applyFont="1" applyFill="1" applyBorder="1" applyAlignment="1" quotePrefix="1">
      <alignment/>
    </xf>
    <xf numFmtId="166" fontId="6" fillId="10" borderId="7" xfId="85" applyNumberFormat="1" applyFont="1" applyFill="1" applyBorder="1" applyAlignment="1" quotePrefix="1">
      <alignment/>
    </xf>
    <xf numFmtId="166" fontId="5" fillId="25" borderId="7" xfId="85" applyNumberFormat="1" applyFont="1" applyFill="1" applyBorder="1" applyAlignment="1" quotePrefix="1">
      <alignment/>
    </xf>
    <xf numFmtId="49" fontId="4" fillId="24" borderId="7" xfId="85" applyNumberFormat="1" applyFont="1" applyFill="1" applyBorder="1" applyAlignment="1">
      <alignment horizontal="center"/>
    </xf>
    <xf numFmtId="49" fontId="7" fillId="10" borderId="7" xfId="85" applyNumberFormat="1" applyFont="1" applyFill="1" applyBorder="1" applyAlignment="1">
      <alignment horizontal="center"/>
    </xf>
    <xf numFmtId="49" fontId="4" fillId="25" borderId="7" xfId="85" applyNumberFormat="1" applyFont="1" applyFill="1" applyBorder="1" applyAlignment="1">
      <alignment horizontal="center"/>
    </xf>
    <xf numFmtId="165" fontId="5" fillId="24" borderId="7" xfId="85" applyNumberFormat="1" applyFont="1" applyFill="1" applyBorder="1" applyAlignment="1" quotePrefix="1">
      <alignment/>
    </xf>
    <xf numFmtId="165" fontId="6" fillId="10" borderId="7" xfId="0" applyNumberFormat="1" applyFont="1" applyFill="1" applyBorder="1" applyAlignment="1">
      <alignment/>
    </xf>
    <xf numFmtId="165" fontId="5" fillId="25" borderId="7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0" fillId="25" borderId="0" xfId="0" applyFill="1" applyAlignment="1">
      <alignment/>
    </xf>
    <xf numFmtId="165" fontId="0" fillId="25" borderId="0" xfId="0" applyNumberFormat="1" applyFill="1" applyAlignment="1">
      <alignment/>
    </xf>
    <xf numFmtId="0" fontId="9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49" fontId="11" fillId="4" borderId="0" xfId="0" applyNumberFormat="1" applyFont="1" applyFill="1" applyAlignment="1">
      <alignment horizontal="center"/>
    </xf>
    <xf numFmtId="0" fontId="14" fillId="4" borderId="0" xfId="0" applyFont="1" applyFill="1" applyBorder="1" applyAlignment="1">
      <alignment/>
    </xf>
    <xf numFmtId="0" fontId="2" fillId="25" borderId="0" xfId="0" applyFont="1" applyFill="1" applyAlignment="1">
      <alignment/>
    </xf>
    <xf numFmtId="49" fontId="11" fillId="25" borderId="0" xfId="0" applyNumberFormat="1" applyFont="1" applyFill="1" applyAlignment="1">
      <alignment horizontal="center"/>
    </xf>
    <xf numFmtId="0" fontId="14" fillId="25" borderId="0" xfId="0" applyFont="1" applyFill="1" applyBorder="1" applyAlignment="1">
      <alignment/>
    </xf>
    <xf numFmtId="0" fontId="2" fillId="22" borderId="0" xfId="0" applyFont="1" applyFill="1" applyAlignment="1">
      <alignment/>
    </xf>
    <xf numFmtId="0" fontId="0" fillId="22" borderId="0" xfId="0" applyFill="1" applyAlignment="1">
      <alignment/>
    </xf>
    <xf numFmtId="49" fontId="11" fillId="22" borderId="0" xfId="0" applyNumberFormat="1" applyFont="1" applyFill="1" applyAlignment="1">
      <alignment horizontal="center"/>
    </xf>
    <xf numFmtId="0" fontId="15" fillId="4" borderId="0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5" fillId="22" borderId="0" xfId="0" applyFont="1" applyFill="1" applyBorder="1" applyAlignment="1">
      <alignment/>
    </xf>
    <xf numFmtId="49" fontId="8" fillId="22" borderId="0" xfId="0" applyNumberFormat="1" applyFont="1" applyFill="1" applyBorder="1" applyAlignment="1">
      <alignment horizontal="left" indent="2"/>
    </xf>
    <xf numFmtId="168" fontId="0" fillId="22" borderId="0" xfId="0" applyNumberFormat="1" applyFill="1" applyBorder="1" applyAlignment="1">
      <alignment horizontal="right"/>
    </xf>
    <xf numFmtId="49" fontId="8" fillId="22" borderId="0" xfId="0" applyNumberFormat="1" applyFont="1" applyFill="1" applyBorder="1" applyAlignment="1">
      <alignment horizontal="left"/>
    </xf>
    <xf numFmtId="49" fontId="16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6" fillId="4" borderId="0" xfId="0" applyFont="1" applyFill="1" applyAlignment="1">
      <alignment/>
    </xf>
    <xf numFmtId="0" fontId="8" fillId="8" borderId="10" xfId="0" applyFont="1" applyFill="1" applyBorder="1" applyAlignment="1">
      <alignment/>
    </xf>
    <xf numFmtId="0" fontId="8" fillId="8" borderId="11" xfId="0" applyFont="1" applyFill="1" applyBorder="1" applyAlignment="1">
      <alignment/>
    </xf>
    <xf numFmtId="0" fontId="8" fillId="8" borderId="12" xfId="0" applyFont="1" applyFill="1" applyBorder="1" applyAlignment="1">
      <alignment horizontal="center"/>
    </xf>
    <xf numFmtId="165" fontId="5" fillId="8" borderId="11" xfId="82" applyNumberFormat="1" applyFont="1" applyFill="1" applyBorder="1" applyAlignment="1">
      <alignment horizontal="left"/>
      <protection/>
    </xf>
    <xf numFmtId="1" fontId="5" fillId="8" borderId="13" xfId="82" applyNumberFormat="1" applyFont="1" applyFill="1" applyBorder="1" applyAlignment="1">
      <alignment horizontal="left"/>
      <protection/>
    </xf>
    <xf numFmtId="0" fontId="0" fillId="8" borderId="0" xfId="0" applyFill="1" applyAlignment="1">
      <alignment/>
    </xf>
    <xf numFmtId="0" fontId="16" fillId="8" borderId="0" xfId="0" applyFont="1" applyFill="1" applyAlignment="1">
      <alignment/>
    </xf>
    <xf numFmtId="49" fontId="9" fillId="1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indent="2"/>
    </xf>
    <xf numFmtId="49" fontId="4" fillId="0" borderId="0" xfId="0" applyNumberFormat="1" applyFont="1" applyAlignment="1">
      <alignment horizontal="left" indent="2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indent="1"/>
    </xf>
    <xf numFmtId="1" fontId="0" fillId="0" borderId="0" xfId="0" applyNumberFormat="1" applyAlignment="1">
      <alignment/>
    </xf>
    <xf numFmtId="0" fontId="9" fillId="24" borderId="7" xfId="0" applyFont="1" applyFill="1" applyBorder="1" applyAlignment="1">
      <alignment/>
    </xf>
    <xf numFmtId="0" fontId="9" fillId="10" borderId="7" xfId="0" applyFont="1" applyFill="1" applyBorder="1" applyAlignment="1">
      <alignment/>
    </xf>
    <xf numFmtId="0" fontId="9" fillId="25" borderId="14" xfId="0" applyFont="1" applyFill="1" applyBorder="1" applyAlignment="1">
      <alignment/>
    </xf>
    <xf numFmtId="49" fontId="2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5" borderId="0" xfId="0" applyFont="1" applyFill="1" applyAlignment="1">
      <alignment/>
    </xf>
    <xf numFmtId="49" fontId="11" fillId="5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left" indent="2"/>
    </xf>
    <xf numFmtId="166" fontId="0" fillId="0" borderId="0" xfId="0" applyNumberFormat="1" applyAlignment="1">
      <alignment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9" fontId="21" fillId="0" borderId="0" xfId="0" applyNumberFormat="1" applyFont="1" applyAlignment="1">
      <alignment horizontal="left" vertical="center" indent="1"/>
    </xf>
    <xf numFmtId="165" fontId="2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81" applyFont="1" applyFill="1">
      <alignment/>
      <protection/>
    </xf>
    <xf numFmtId="165" fontId="26" fillId="0" borderId="0" xfId="81" applyFont="1" applyFill="1">
      <alignment/>
      <protection/>
    </xf>
    <xf numFmtId="165" fontId="9" fillId="0" borderId="0" xfId="81" applyFont="1" applyFill="1">
      <alignment/>
      <protection/>
    </xf>
    <xf numFmtId="165" fontId="3" fillId="0" borderId="0" xfId="81" applyFont="1" applyFill="1" applyAlignment="1">
      <alignment horizontal="left" indent="1"/>
      <protection/>
    </xf>
    <xf numFmtId="165" fontId="3" fillId="0" borderId="0" xfId="81" applyFont="1" applyFill="1" applyAlignment="1">
      <alignment horizontal="left"/>
      <protection/>
    </xf>
    <xf numFmtId="165" fontId="9" fillId="0" borderId="0" xfId="81" applyFont="1" applyFill="1" applyAlignment="1">
      <alignment horizontal="left"/>
      <protection/>
    </xf>
    <xf numFmtId="49" fontId="9" fillId="0" borderId="0" xfId="0" applyNumberFormat="1" applyFont="1" applyAlignment="1">
      <alignment horizontal="center"/>
    </xf>
    <xf numFmtId="168" fontId="0" fillId="22" borderId="0" xfId="85" applyNumberFormat="1" applyFill="1" applyBorder="1" applyAlignment="1">
      <alignment horizontal="right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right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/>
    </xf>
    <xf numFmtId="0" fontId="8" fillId="4" borderId="18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49" fontId="8" fillId="4" borderId="19" xfId="0" applyNumberFormat="1" applyFont="1" applyFill="1" applyBorder="1" applyAlignment="1">
      <alignment horizontal="center"/>
    </xf>
    <xf numFmtId="49" fontId="8" fillId="4" borderId="20" xfId="0" applyNumberFormat="1" applyFont="1" applyFill="1" applyBorder="1" applyAlignment="1">
      <alignment horizontal="center"/>
    </xf>
    <xf numFmtId="3" fontId="0" fillId="4" borderId="0" xfId="0" applyNumberFormat="1" applyFill="1" applyAlignment="1">
      <alignment/>
    </xf>
    <xf numFmtId="3" fontId="8" fillId="4" borderId="21" xfId="0" applyNumberFormat="1" applyFont="1" applyFill="1" applyBorder="1" applyAlignment="1">
      <alignment horizontal="center"/>
    </xf>
    <xf numFmtId="49" fontId="28" fillId="4" borderId="0" xfId="0" applyNumberFormat="1" applyFont="1" applyFill="1" applyAlignment="1">
      <alignment horizontal="center"/>
    </xf>
    <xf numFmtId="165" fontId="27" fillId="4" borderId="0" xfId="0" applyNumberFormat="1" applyFont="1" applyFill="1" applyBorder="1" applyAlignment="1">
      <alignment horizontal="right"/>
    </xf>
    <xf numFmtId="49" fontId="18" fillId="4" borderId="0" xfId="0" applyNumberFormat="1" applyFont="1" applyFill="1" applyAlignment="1">
      <alignment horizontal="center"/>
    </xf>
    <xf numFmtId="49" fontId="29" fillId="25" borderId="0" xfId="0" applyNumberFormat="1" applyFont="1" applyFill="1" applyAlignment="1">
      <alignment horizontal="center"/>
    </xf>
    <xf numFmtId="165" fontId="30" fillId="25" borderId="0" xfId="0" applyNumberFormat="1" applyFont="1" applyFill="1" applyAlignment="1">
      <alignment/>
    </xf>
    <xf numFmtId="49" fontId="18" fillId="22" borderId="0" xfId="0" applyNumberFormat="1" applyFont="1" applyFill="1" applyAlignment="1">
      <alignment horizontal="center"/>
    </xf>
    <xf numFmtId="168" fontId="27" fillId="22" borderId="0" xfId="85" applyNumberFormat="1" applyFont="1" applyFill="1" applyBorder="1" applyAlignment="1">
      <alignment horizontal="right"/>
    </xf>
    <xf numFmtId="165" fontId="4" fillId="0" borderId="0" xfId="81" applyFont="1" applyFill="1" applyAlignment="1">
      <alignment horizontal="left" indent="1"/>
      <protection/>
    </xf>
    <xf numFmtId="165" fontId="27" fillId="0" borderId="0" xfId="0" applyNumberFormat="1" applyFont="1" applyAlignment="1">
      <alignment/>
    </xf>
    <xf numFmtId="166" fontId="27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0" fontId="27" fillId="0" borderId="0" xfId="0" applyFont="1" applyAlignment="1">
      <alignment/>
    </xf>
    <xf numFmtId="165" fontId="25" fillId="0" borderId="0" xfId="0" applyNumberFormat="1" applyFont="1" applyAlignment="1">
      <alignment/>
    </xf>
    <xf numFmtId="165" fontId="20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/>
    </xf>
    <xf numFmtId="165" fontId="1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8" fillId="5" borderId="0" xfId="0" applyFont="1" applyFill="1" applyAlignment="1">
      <alignment horizontal="center"/>
    </xf>
    <xf numFmtId="165" fontId="11" fillId="5" borderId="0" xfId="0" applyNumberFormat="1" applyFont="1" applyFill="1" applyAlignment="1">
      <alignment horizontal="center"/>
    </xf>
    <xf numFmtId="165" fontId="25" fillId="0" borderId="0" xfId="0" applyNumberFormat="1" applyFont="1" applyBorder="1" applyAlignment="1">
      <alignment/>
    </xf>
    <xf numFmtId="165" fontId="25" fillId="0" borderId="22" xfId="0" applyNumberFormat="1" applyFont="1" applyBorder="1" applyAlignment="1">
      <alignment/>
    </xf>
    <xf numFmtId="49" fontId="3" fillId="0" borderId="0" xfId="0" applyNumberFormat="1" applyFont="1" applyFill="1" applyAlignment="1">
      <alignment horizontal="left" indent="1"/>
    </xf>
    <xf numFmtId="16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3" fontId="0" fillId="10" borderId="0" xfId="0" applyNumberFormat="1" applyFill="1" applyAlignment="1">
      <alignment/>
    </xf>
    <xf numFmtId="49" fontId="8" fillId="10" borderId="0" xfId="0" applyNumberFormat="1" applyFont="1" applyFill="1" applyBorder="1" applyAlignment="1">
      <alignment horizontal="left" indent="6"/>
    </xf>
    <xf numFmtId="49" fontId="0" fillId="10" borderId="0" xfId="0" applyNumberFormat="1" applyFill="1" applyBorder="1" applyAlignment="1">
      <alignment horizontal="left" indent="6"/>
    </xf>
    <xf numFmtId="165" fontId="25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165" fontId="27" fillId="0" borderId="0" xfId="0" applyNumberFormat="1" applyFont="1" applyFill="1" applyAlignment="1">
      <alignment/>
    </xf>
    <xf numFmtId="3" fontId="0" fillId="5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26" borderId="0" xfId="0" applyFill="1" applyAlignment="1">
      <alignment/>
    </xf>
    <xf numFmtId="10" fontId="8" fillId="0" borderId="0" xfId="0" applyNumberFormat="1" applyFont="1" applyAlignment="1">
      <alignment/>
    </xf>
    <xf numFmtId="0" fontId="8" fillId="5" borderId="0" xfId="0" applyFont="1" applyFill="1" applyAlignment="1">
      <alignment/>
    </xf>
    <xf numFmtId="49" fontId="8" fillId="5" borderId="20" xfId="0" applyNumberFormat="1" applyFont="1" applyFill="1" applyBorder="1" applyAlignment="1">
      <alignment horizontal="center"/>
    </xf>
    <xf numFmtId="49" fontId="8" fillId="5" borderId="0" xfId="0" applyNumberFormat="1" applyFont="1" applyFill="1" applyBorder="1" applyAlignment="1">
      <alignment horizontal="center"/>
    </xf>
    <xf numFmtId="3" fontId="8" fillId="5" borderId="21" xfId="0" applyNumberFormat="1" applyFont="1" applyFill="1" applyBorder="1" applyAlignment="1">
      <alignment horizontal="center"/>
    </xf>
    <xf numFmtId="0" fontId="5" fillId="8" borderId="11" xfId="82" applyNumberFormat="1" applyFont="1" applyFill="1" applyBorder="1" applyAlignment="1">
      <alignment horizontal="left"/>
      <protection/>
    </xf>
    <xf numFmtId="1" fontId="10" fillId="8" borderId="11" xfId="82" applyNumberFormat="1" applyFont="1" applyFill="1" applyBorder="1" applyAlignment="1">
      <alignment horizontal="left"/>
      <protection/>
    </xf>
    <xf numFmtId="0" fontId="8" fillId="8" borderId="23" xfId="0" applyFont="1" applyFill="1" applyBorder="1" applyAlignment="1">
      <alignment/>
    </xf>
    <xf numFmtId="0" fontId="8" fillId="8" borderId="24" xfId="0" applyFont="1" applyFill="1" applyBorder="1" applyAlignment="1">
      <alignment/>
    </xf>
    <xf numFmtId="3" fontId="0" fillId="8" borderId="10" xfId="0" applyNumberFormat="1" applyFill="1" applyBorder="1" applyAlignment="1">
      <alignment/>
    </xf>
    <xf numFmtId="3" fontId="0" fillId="8" borderId="11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3" fontId="8" fillId="8" borderId="11" xfId="0" applyNumberFormat="1" applyFont="1" applyFill="1" applyBorder="1" applyAlignment="1">
      <alignment/>
    </xf>
    <xf numFmtId="166" fontId="0" fillId="8" borderId="11" xfId="85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25" fillId="0" borderId="0" xfId="0" applyNumberFormat="1" applyFont="1" applyFill="1" applyAlignment="1">
      <alignment/>
    </xf>
    <xf numFmtId="165" fontId="20" fillId="0" borderId="0" xfId="0" applyNumberFormat="1" applyFont="1" applyFill="1" applyBorder="1" applyAlignment="1">
      <alignment/>
    </xf>
    <xf numFmtId="165" fontId="8" fillId="0" borderId="0" xfId="0" applyNumberFormat="1" applyFont="1" applyFill="1" applyAlignment="1">
      <alignment/>
    </xf>
    <xf numFmtId="166" fontId="27" fillId="0" borderId="0" xfId="0" applyNumberFormat="1" applyFont="1" applyFill="1" applyAlignment="1">
      <alignment/>
    </xf>
    <xf numFmtId="165" fontId="27" fillId="4" borderId="0" xfId="0" applyNumberFormat="1" applyFont="1" applyFill="1" applyAlignment="1">
      <alignment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5" fontId="19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5" fontId="14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 horizontal="left"/>
    </xf>
    <xf numFmtId="49" fontId="28" fillId="0" borderId="0" xfId="0" applyNumberFormat="1" applyFont="1" applyFill="1" applyAlignment="1">
      <alignment horizontal="center"/>
    </xf>
    <xf numFmtId="165" fontId="26" fillId="4" borderId="7" xfId="81" applyNumberFormat="1" applyFont="1" applyFill="1" applyBorder="1" applyAlignment="1">
      <alignment/>
      <protection/>
    </xf>
    <xf numFmtId="165" fontId="26" fillId="0" borderId="0" xfId="81" applyFont="1">
      <alignment/>
      <protection/>
    </xf>
    <xf numFmtId="165" fontId="33" fillId="26" borderId="25" xfId="81" applyNumberFormat="1" applyFont="1" applyFill="1" applyBorder="1" applyAlignment="1">
      <alignment horizontal="center"/>
      <protection/>
    </xf>
    <xf numFmtId="165" fontId="26" fillId="4" borderId="7" xfId="81" applyNumberFormat="1" applyFont="1" applyFill="1" applyBorder="1" applyAlignment="1">
      <alignment horizontal="right"/>
      <protection/>
    </xf>
    <xf numFmtId="2" fontId="26" fillId="11" borderId="7" xfId="81" applyNumberFormat="1" applyFont="1" applyFill="1" applyBorder="1" applyAlignment="1">
      <alignment/>
      <protection/>
    </xf>
    <xf numFmtId="165" fontId="26" fillId="11" borderId="7" xfId="81" applyNumberFormat="1" applyFont="1" applyFill="1" applyBorder="1" applyAlignment="1">
      <alignment/>
      <protection/>
    </xf>
    <xf numFmtId="165" fontId="26" fillId="8" borderId="7" xfId="81" applyNumberFormat="1" applyFont="1" applyFill="1" applyBorder="1" applyAlignment="1">
      <alignment horizontal="right"/>
      <protection/>
    </xf>
    <xf numFmtId="1" fontId="26" fillId="8" borderId="7" xfId="81" applyNumberFormat="1" applyFont="1" applyFill="1" applyBorder="1" applyAlignment="1">
      <alignment horizontal="right"/>
      <protection/>
    </xf>
    <xf numFmtId="10" fontId="26" fillId="8" borderId="7" xfId="81" applyNumberFormat="1" applyFont="1" applyFill="1" applyBorder="1" applyAlignment="1">
      <alignment horizontal="right"/>
      <protection/>
    </xf>
    <xf numFmtId="167" fontId="26" fillId="8" borderId="7" xfId="81" applyNumberFormat="1" applyFont="1" applyFill="1" applyBorder="1" applyAlignment="1">
      <alignment horizontal="right"/>
      <protection/>
    </xf>
    <xf numFmtId="166" fontId="26" fillId="0" borderId="0" xfId="81" applyNumberFormat="1" applyFont="1" applyAlignment="1">
      <alignment horizontal="left"/>
      <protection/>
    </xf>
    <xf numFmtId="165" fontId="33" fillId="27" borderId="25" xfId="81" applyNumberFormat="1" applyFont="1" applyFill="1" applyBorder="1" applyAlignment="1">
      <alignment/>
      <protection/>
    </xf>
    <xf numFmtId="165" fontId="26" fillId="0" borderId="7" xfId="81" applyFont="1" applyFill="1" applyBorder="1" applyAlignment="1">
      <alignment horizontal="right"/>
      <protection/>
    </xf>
    <xf numFmtId="170" fontId="17" fillId="0" borderId="0" xfId="81" applyNumberFormat="1" applyFont="1" applyFill="1" applyAlignment="1">
      <alignment horizontal="right"/>
      <protection/>
    </xf>
    <xf numFmtId="165" fontId="14" fillId="17" borderId="0" xfId="0" applyNumberFormat="1" applyFont="1" applyFill="1" applyAlignment="1">
      <alignment/>
    </xf>
    <xf numFmtId="165" fontId="25" fillId="8" borderId="0" xfId="0" applyNumberFormat="1" applyFont="1" applyFill="1" applyAlignment="1">
      <alignment/>
    </xf>
    <xf numFmtId="166" fontId="27" fillId="0" borderId="0" xfId="85" applyNumberFormat="1" applyFont="1" applyAlignment="1">
      <alignment/>
    </xf>
    <xf numFmtId="166" fontId="25" fillId="0" borderId="0" xfId="85" applyNumberFormat="1" applyFont="1" applyAlignment="1">
      <alignment/>
    </xf>
    <xf numFmtId="166" fontId="14" fillId="0" borderId="0" xfId="85" applyNumberFormat="1" applyFont="1" applyAlignment="1">
      <alignment/>
    </xf>
    <xf numFmtId="166" fontId="19" fillId="0" borderId="0" xfId="85" applyNumberFormat="1" applyFont="1" applyAlignment="1">
      <alignment/>
    </xf>
    <xf numFmtId="166" fontId="24" fillId="0" borderId="0" xfId="85" applyNumberFormat="1" applyFont="1" applyAlignment="1">
      <alignment/>
    </xf>
    <xf numFmtId="0" fontId="4" fillId="0" borderId="0" xfId="0" applyFont="1" applyAlignment="1">
      <alignment/>
    </xf>
    <xf numFmtId="165" fontId="24" fillId="0" borderId="0" xfId="0" applyNumberFormat="1" applyFont="1" applyAlignment="1">
      <alignment/>
    </xf>
    <xf numFmtId="165" fontId="27" fillId="24" borderId="0" xfId="0" applyNumberFormat="1" applyFont="1" applyFill="1" applyAlignment="1">
      <alignment/>
    </xf>
    <xf numFmtId="0" fontId="24" fillId="0" borderId="0" xfId="0" applyFont="1" applyAlignment="1">
      <alignment/>
    </xf>
    <xf numFmtId="166" fontId="24" fillId="0" borderId="0" xfId="0" applyNumberFormat="1" applyFont="1" applyAlignment="1">
      <alignment/>
    </xf>
    <xf numFmtId="165" fontId="24" fillId="0" borderId="0" xfId="0" applyNumberFormat="1" applyFont="1" applyFill="1" applyAlignment="1">
      <alignment/>
    </xf>
    <xf numFmtId="165" fontId="24" fillId="0" borderId="22" xfId="0" applyNumberFormat="1" applyFont="1" applyBorder="1" applyAlignment="1">
      <alignment/>
    </xf>
    <xf numFmtId="165" fontId="19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165" fontId="19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3" fontId="8" fillId="28" borderId="0" xfId="0" applyNumberFormat="1" applyFont="1" applyFill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167" fontId="25" fillId="25" borderId="0" xfId="0" applyNumberFormat="1" applyFont="1" applyFill="1" applyAlignment="1">
      <alignment horizontal="center"/>
    </xf>
    <xf numFmtId="0" fontId="35" fillId="0" borderId="0" xfId="0" applyFont="1" applyAlignment="1">
      <alignment horizontal="left"/>
    </xf>
    <xf numFmtId="0" fontId="34" fillId="8" borderId="0" xfId="0" applyFont="1" applyFill="1" applyAlignment="1">
      <alignment horizontal="left" indent="1"/>
    </xf>
    <xf numFmtId="2" fontId="25" fillId="8" borderId="0" xfId="0" applyNumberFormat="1" applyFont="1" applyFill="1" applyAlignment="1">
      <alignment/>
    </xf>
    <xf numFmtId="167" fontId="25" fillId="0" borderId="0" xfId="0" applyNumberFormat="1" applyFont="1" applyAlignment="1">
      <alignment/>
    </xf>
    <xf numFmtId="166" fontId="25" fillId="0" borderId="0" xfId="0" applyNumberFormat="1" applyFont="1" applyAlignment="1">
      <alignment/>
    </xf>
    <xf numFmtId="166" fontId="24" fillId="0" borderId="22" xfId="85" applyNumberFormat="1" applyFont="1" applyBorder="1" applyAlignment="1">
      <alignment/>
    </xf>
    <xf numFmtId="166" fontId="25" fillId="0" borderId="22" xfId="85" applyNumberFormat="1" applyFont="1" applyBorder="1" applyAlignment="1">
      <alignment/>
    </xf>
    <xf numFmtId="165" fontId="24" fillId="4" borderId="0" xfId="0" applyNumberFormat="1" applyFont="1" applyFill="1" applyAlignment="1">
      <alignment/>
    </xf>
    <xf numFmtId="165" fontId="0" fillId="4" borderId="0" xfId="0" applyNumberFormat="1" applyFill="1" applyAlignment="1">
      <alignment/>
    </xf>
    <xf numFmtId="171" fontId="8" fillId="10" borderId="0" xfId="0" applyNumberFormat="1" applyFont="1" applyFill="1" applyAlignment="1">
      <alignment/>
    </xf>
    <xf numFmtId="2" fontId="5" fillId="24" borderId="7" xfId="85" applyNumberFormat="1" applyFont="1" applyFill="1" applyBorder="1" applyAlignment="1" quotePrefix="1">
      <alignment/>
    </xf>
    <xf numFmtId="2" fontId="5" fillId="10" borderId="7" xfId="85" applyNumberFormat="1" applyFont="1" applyFill="1" applyBorder="1" applyAlignment="1" quotePrefix="1">
      <alignment/>
    </xf>
    <xf numFmtId="2" fontId="5" fillId="25" borderId="7" xfId="85" applyNumberFormat="1" applyFont="1" applyFill="1" applyBorder="1" applyAlignment="1" quotePrefix="1">
      <alignment/>
    </xf>
    <xf numFmtId="165" fontId="5" fillId="24" borderId="7" xfId="85" applyNumberFormat="1" applyFont="1" applyFill="1" applyBorder="1" applyAlignment="1">
      <alignment/>
    </xf>
    <xf numFmtId="165" fontId="5" fillId="10" borderId="7" xfId="85" applyNumberFormat="1" applyFont="1" applyFill="1" applyBorder="1" applyAlignment="1">
      <alignment/>
    </xf>
    <xf numFmtId="165" fontId="5" fillId="25" borderId="7" xfId="85" applyNumberFormat="1" applyFont="1" applyFill="1" applyBorder="1" applyAlignment="1">
      <alignment/>
    </xf>
    <xf numFmtId="49" fontId="18" fillId="25" borderId="0" xfId="0" applyNumberFormat="1" applyFont="1" applyFill="1" applyAlignment="1">
      <alignment horizontal="center"/>
    </xf>
    <xf numFmtId="0" fontId="5" fillId="24" borderId="7" xfId="85" applyNumberFormat="1" applyFont="1" applyFill="1" applyBorder="1" applyAlignment="1">
      <alignment horizontal="center"/>
    </xf>
    <xf numFmtId="0" fontId="5" fillId="10" borderId="7" xfId="85" applyNumberFormat="1" applyFont="1" applyFill="1" applyBorder="1" applyAlignment="1">
      <alignment horizontal="center"/>
    </xf>
    <xf numFmtId="0" fontId="5" fillId="25" borderId="7" xfId="85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0" fontId="31" fillId="27" borderId="0" xfId="0" applyFont="1" applyFill="1" applyAlignment="1">
      <alignment/>
    </xf>
    <xf numFmtId="9" fontId="5" fillId="24" borderId="7" xfId="85" applyNumberFormat="1" applyFont="1" applyFill="1" applyBorder="1" applyAlignment="1" quotePrefix="1">
      <alignment/>
    </xf>
    <xf numFmtId="9" fontId="5" fillId="25" borderId="7" xfId="85" applyNumberFormat="1" applyFont="1" applyFill="1" applyBorder="1" applyAlignment="1" quotePrefix="1">
      <alignment/>
    </xf>
    <xf numFmtId="49" fontId="4" fillId="0" borderId="0" xfId="0" applyNumberFormat="1" applyFont="1" applyFill="1" applyBorder="1" applyAlignment="1">
      <alignment horizontal="left" indent="2"/>
    </xf>
    <xf numFmtId="9" fontId="6" fillId="10" borderId="7" xfId="85" applyNumberFormat="1" applyFont="1" applyFill="1" applyBorder="1" applyAlignment="1" quotePrefix="1">
      <alignment/>
    </xf>
    <xf numFmtId="0" fontId="2" fillId="26" borderId="0" xfId="0" applyFont="1" applyFill="1" applyBorder="1" applyAlignment="1">
      <alignment/>
    </xf>
    <xf numFmtId="0" fontId="9" fillId="27" borderId="0" xfId="0" applyFont="1" applyFill="1" applyAlignment="1">
      <alignment/>
    </xf>
    <xf numFmtId="0" fontId="12" fillId="26" borderId="0" xfId="0" applyFont="1" applyFill="1" applyAlignment="1">
      <alignment/>
    </xf>
    <xf numFmtId="0" fontId="0" fillId="26" borderId="0" xfId="0" applyFont="1" applyFill="1" applyAlignment="1">
      <alignment/>
    </xf>
    <xf numFmtId="49" fontId="32" fillId="0" borderId="0" xfId="0" applyNumberFormat="1" applyFont="1" applyFill="1" applyAlignment="1">
      <alignment horizontal="left"/>
    </xf>
    <xf numFmtId="49" fontId="21" fillId="0" borderId="0" xfId="0" applyNumberFormat="1" applyFont="1" applyAlignment="1">
      <alignment/>
    </xf>
    <xf numFmtId="49" fontId="22" fillId="0" borderId="0" xfId="0" applyNumberFormat="1" applyFont="1" applyFill="1" applyAlignment="1">
      <alignment horizontal="left" indent="1"/>
    </xf>
    <xf numFmtId="165" fontId="24" fillId="0" borderId="0" xfId="0" applyNumberFormat="1" applyFont="1" applyFill="1" applyBorder="1" applyAlignment="1">
      <alignment/>
    </xf>
    <xf numFmtId="49" fontId="36" fillId="0" borderId="0" xfId="0" applyNumberFormat="1" applyFont="1" applyFill="1" applyAlignment="1">
      <alignment horizontal="left"/>
    </xf>
    <xf numFmtId="0" fontId="24" fillId="0" borderId="0" xfId="0" applyNumberFormat="1" applyFont="1" applyAlignment="1">
      <alignment horizontal="center"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>
      <alignment horizontal="center"/>
    </xf>
    <xf numFmtId="49" fontId="4" fillId="0" borderId="0" xfId="81" applyNumberFormat="1" applyFont="1" applyFill="1" applyAlignment="1">
      <alignment horizontal="left" indent="1"/>
      <protection/>
    </xf>
    <xf numFmtId="49" fontId="22" fillId="0" borderId="0" xfId="81" applyNumberFormat="1" applyFont="1" applyFill="1" applyAlignment="1">
      <alignment horizontal="left" indent="1"/>
      <protection/>
    </xf>
    <xf numFmtId="49" fontId="4" fillId="0" borderId="0" xfId="85" applyNumberFormat="1" applyFont="1" applyFill="1" applyAlignment="1">
      <alignment horizontal="left" indent="2"/>
    </xf>
    <xf numFmtId="0" fontId="20" fillId="0" borderId="0" xfId="0" applyNumberFormat="1" applyFont="1" applyAlignment="1">
      <alignment horizontal="center"/>
    </xf>
    <xf numFmtId="1" fontId="14" fillId="10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49" fontId="16" fillId="5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 vertical="center" indent="1"/>
    </xf>
    <xf numFmtId="165" fontId="4" fillId="0" borderId="0" xfId="81" applyFill="1" applyAlignment="1">
      <alignment horizontal="left" indent="1"/>
      <protection/>
    </xf>
    <xf numFmtId="165" fontId="33" fillId="4" borderId="25" xfId="81" applyNumberFormat="1" applyFont="1" applyFill="1" applyBorder="1" applyAlignment="1">
      <alignment/>
      <protection/>
    </xf>
    <xf numFmtId="3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27" fillId="0" borderId="0" xfId="0" applyNumberFormat="1" applyFont="1" applyAlignment="1">
      <alignment horizontal="center"/>
    </xf>
    <xf numFmtId="165" fontId="27" fillId="0" borderId="22" xfId="0" applyNumberFormat="1" applyFont="1" applyBorder="1" applyAlignment="1">
      <alignment/>
    </xf>
    <xf numFmtId="165" fontId="27" fillId="0" borderId="0" xfId="0" applyNumberFormat="1" applyFont="1" applyFill="1" applyBorder="1" applyAlignment="1">
      <alignment/>
    </xf>
    <xf numFmtId="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167" fontId="27" fillId="0" borderId="0" xfId="0" applyNumberFormat="1" applyFont="1" applyAlignment="1">
      <alignment/>
    </xf>
    <xf numFmtId="165" fontId="17" fillId="4" borderId="7" xfId="81" applyFont="1" applyFill="1" applyBorder="1" applyAlignment="1">
      <alignment/>
      <protection/>
    </xf>
    <xf numFmtId="165" fontId="17" fillId="4" borderId="7" xfId="81" applyNumberFormat="1" applyFont="1" applyFill="1" applyBorder="1" applyAlignment="1">
      <alignment/>
      <protection/>
    </xf>
    <xf numFmtId="165" fontId="17" fillId="4" borderId="26" xfId="81" applyNumberFormat="1" applyFont="1" applyFill="1" applyBorder="1" applyAlignment="1">
      <alignment/>
      <protection/>
    </xf>
    <xf numFmtId="165" fontId="37" fillId="27" borderId="25" xfId="81" applyNumberFormat="1" applyFont="1" applyFill="1" applyBorder="1" applyAlignment="1">
      <alignment/>
      <protection/>
    </xf>
    <xf numFmtId="165" fontId="17" fillId="0" borderId="0" xfId="81" applyFont="1">
      <alignment/>
      <protection/>
    </xf>
    <xf numFmtId="165" fontId="37" fillId="4" borderId="25" xfId="81" applyNumberFormat="1" applyFont="1" applyFill="1" applyBorder="1" applyAlignment="1">
      <alignment/>
      <protection/>
    </xf>
    <xf numFmtId="165" fontId="37" fillId="27" borderId="27" xfId="81" applyNumberFormat="1" applyFont="1" applyFill="1" applyBorder="1" applyAlignment="1">
      <alignment/>
      <protection/>
    </xf>
    <xf numFmtId="165" fontId="17" fillId="4" borderId="28" xfId="81" applyFont="1" applyFill="1" applyBorder="1" applyAlignment="1">
      <alignment/>
      <protection/>
    </xf>
    <xf numFmtId="165" fontId="17" fillId="4" borderId="29" xfId="81" applyFont="1" applyFill="1" applyBorder="1" applyAlignment="1">
      <alignment/>
      <protection/>
    </xf>
    <xf numFmtId="165" fontId="37" fillId="4" borderId="7" xfId="81" applyFont="1" applyFill="1" applyBorder="1" applyAlignment="1">
      <alignment/>
      <protection/>
    </xf>
    <xf numFmtId="165" fontId="17" fillId="4" borderId="7" xfId="81" applyFont="1" applyFill="1" applyBorder="1" applyAlignment="1">
      <alignment horizontal="right"/>
      <protection/>
    </xf>
    <xf numFmtId="165" fontId="17" fillId="4" borderId="27" xfId="81" applyFont="1" applyFill="1" applyBorder="1" applyAlignment="1">
      <alignment horizontal="right"/>
      <protection/>
    </xf>
    <xf numFmtId="165" fontId="17" fillId="0" borderId="14" xfId="81" applyFont="1" applyFill="1" applyBorder="1" applyAlignment="1">
      <alignment horizontal="left"/>
      <protection/>
    </xf>
    <xf numFmtId="165" fontId="17" fillId="4" borderId="7" xfId="81" applyNumberFormat="1" applyFont="1" applyFill="1" applyBorder="1" applyAlignment="1">
      <alignment horizontal="right"/>
      <protection/>
    </xf>
    <xf numFmtId="165" fontId="37" fillId="26" borderId="25" xfId="81" applyNumberFormat="1" applyFont="1" applyFill="1" applyBorder="1" applyAlignment="1">
      <alignment horizontal="center"/>
      <protection/>
    </xf>
    <xf numFmtId="2" fontId="17" fillId="11" borderId="7" xfId="81" applyNumberFormat="1" applyFont="1" applyFill="1" applyBorder="1" applyAlignment="1">
      <alignment/>
      <protection/>
    </xf>
    <xf numFmtId="165" fontId="17" fillId="11" borderId="7" xfId="81" applyNumberFormat="1" applyFont="1" applyFill="1" applyBorder="1" applyAlignment="1">
      <alignment/>
      <protection/>
    </xf>
    <xf numFmtId="165" fontId="17" fillId="8" borderId="7" xfId="81" applyNumberFormat="1" applyFont="1" applyFill="1" applyBorder="1" applyAlignment="1">
      <alignment horizontal="right"/>
      <protection/>
    </xf>
    <xf numFmtId="1" fontId="17" fillId="8" borderId="7" xfId="81" applyNumberFormat="1" applyFont="1" applyFill="1" applyBorder="1" applyAlignment="1">
      <alignment horizontal="right"/>
      <protection/>
    </xf>
    <xf numFmtId="167" fontId="17" fillId="8" borderId="7" xfId="81" applyNumberFormat="1" applyFont="1" applyFill="1" applyBorder="1" applyAlignment="1">
      <alignment horizontal="right"/>
      <protection/>
    </xf>
    <xf numFmtId="10" fontId="17" fillId="8" borderId="7" xfId="81" applyNumberFormat="1" applyFont="1" applyFill="1" applyBorder="1" applyAlignment="1">
      <alignment horizontal="right"/>
      <protection/>
    </xf>
    <xf numFmtId="1" fontId="33" fillId="0" borderId="0" xfId="81" applyNumberFormat="1" applyFont="1" applyFill="1">
      <alignment/>
      <protection/>
    </xf>
    <xf numFmtId="1" fontId="37" fillId="0" borderId="0" xfId="81" applyNumberFormat="1" applyFont="1" applyFill="1">
      <alignment/>
      <protection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8" borderId="0" xfId="0" applyFont="1" applyFill="1" applyAlignment="1">
      <alignment horizontal="left" indent="1"/>
    </xf>
    <xf numFmtId="0" fontId="38" fillId="8" borderId="0" xfId="0" applyFont="1" applyFill="1" applyAlignment="1">
      <alignment horizontal="left" indent="1"/>
    </xf>
    <xf numFmtId="0" fontId="39" fillId="29" borderId="0" xfId="0" applyFont="1" applyFill="1" applyAlignment="1">
      <alignment horizontal="center"/>
    </xf>
    <xf numFmtId="0" fontId="9" fillId="7" borderId="0" xfId="0" applyFont="1" applyFill="1" applyAlignment="1">
      <alignment horizontal="left" indent="1"/>
    </xf>
    <xf numFmtId="0" fontId="8" fillId="7" borderId="0" xfId="0" applyFont="1" applyFill="1" applyAlignment="1">
      <alignment/>
    </xf>
    <xf numFmtId="0" fontId="40" fillId="5" borderId="0" xfId="0" applyFont="1" applyFill="1" applyAlignment="1">
      <alignment horizontal="center"/>
    </xf>
    <xf numFmtId="0" fontId="12" fillId="0" borderId="0" xfId="0" applyFont="1" applyAlignment="1">
      <alignment/>
    </xf>
    <xf numFmtId="0" fontId="23" fillId="0" borderId="0" xfId="53" applyAlignment="1" applyProtection="1">
      <alignment/>
      <protection/>
    </xf>
    <xf numFmtId="171" fontId="0" fillId="0" borderId="0" xfId="0" applyNumberFormat="1" applyAlignment="1">
      <alignment/>
    </xf>
    <xf numFmtId="49" fontId="8" fillId="22" borderId="0" xfId="0" applyNumberFormat="1" applyFont="1" applyFill="1" applyBorder="1" applyAlignment="1">
      <alignment horizontal="left" indent="6"/>
    </xf>
    <xf numFmtId="49" fontId="0" fillId="22" borderId="0" xfId="0" applyNumberFormat="1" applyFill="1" applyBorder="1" applyAlignment="1">
      <alignment horizontal="left" indent="6"/>
    </xf>
    <xf numFmtId="171" fontId="0" fillId="22" borderId="0" xfId="0" applyNumberFormat="1" applyFill="1" applyAlignment="1">
      <alignment/>
    </xf>
    <xf numFmtId="171" fontId="8" fillId="22" borderId="0" xfId="0" applyNumberFormat="1" applyFont="1" applyFill="1" applyAlignment="1">
      <alignment/>
    </xf>
    <xf numFmtId="49" fontId="0" fillId="22" borderId="0" xfId="0" applyNumberFormat="1" applyFill="1" applyBorder="1" applyAlignment="1">
      <alignment horizontal="left" indent="2"/>
    </xf>
    <xf numFmtId="168" fontId="0" fillId="22" borderId="0" xfId="0" applyNumberFormat="1" applyFill="1" applyBorder="1" applyAlignment="1">
      <alignment/>
    </xf>
    <xf numFmtId="0" fontId="8" fillId="22" borderId="0" xfId="0" applyFont="1" applyFill="1" applyAlignment="1">
      <alignment/>
    </xf>
    <xf numFmtId="172" fontId="0" fillId="0" borderId="0" xfId="0" applyNumberFormat="1" applyAlignment="1">
      <alignment/>
    </xf>
    <xf numFmtId="49" fontId="0" fillId="7" borderId="0" xfId="0" applyNumberFormat="1" applyFill="1" applyBorder="1" applyAlignment="1">
      <alignment horizontal="left" indent="6"/>
    </xf>
    <xf numFmtId="3" fontId="0" fillId="7" borderId="0" xfId="0" applyNumberFormat="1" applyFill="1" applyAlignment="1">
      <alignment/>
    </xf>
    <xf numFmtId="0" fontId="0" fillId="7" borderId="0" xfId="0" applyFill="1" applyAlignment="1">
      <alignment/>
    </xf>
    <xf numFmtId="165" fontId="37" fillId="4" borderId="7" xfId="81" applyNumberFormat="1" applyFont="1" applyFill="1" applyBorder="1" applyAlignment="1">
      <alignment/>
      <protection/>
    </xf>
    <xf numFmtId="165" fontId="33" fillId="4" borderId="7" xfId="81" applyNumberFormat="1" applyFont="1" applyFill="1" applyBorder="1" applyAlignment="1">
      <alignment/>
      <protection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15" fillId="3" borderId="0" xfId="0" applyFont="1" applyFill="1" applyBorder="1" applyAlignment="1">
      <alignment/>
    </xf>
    <xf numFmtId="49" fontId="11" fillId="3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left" indent="2"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15" fillId="24" borderId="0" xfId="0" applyFont="1" applyFill="1" applyBorder="1" applyAlignment="1">
      <alignment/>
    </xf>
    <xf numFmtId="49" fontId="11" fillId="24" borderId="0" xfId="0" applyNumberFormat="1" applyFont="1" applyFill="1" applyAlignment="1">
      <alignment horizontal="center"/>
    </xf>
    <xf numFmtId="49" fontId="8" fillId="24" borderId="0" xfId="0" applyNumberFormat="1" applyFont="1" applyFill="1" applyBorder="1" applyAlignment="1">
      <alignment horizontal="left" indent="2"/>
    </xf>
    <xf numFmtId="171" fontId="0" fillId="24" borderId="0" xfId="0" applyNumberFormat="1" applyFill="1" applyBorder="1" applyAlignment="1">
      <alignment horizontal="right"/>
    </xf>
    <xf numFmtId="168" fontId="0" fillId="24" borderId="0" xfId="0" applyNumberFormat="1" applyFill="1" applyBorder="1" applyAlignment="1">
      <alignment horizontal="right"/>
    </xf>
    <xf numFmtId="165" fontId="0" fillId="24" borderId="0" xfId="0" applyNumberFormat="1" applyFill="1" applyBorder="1" applyAlignment="1">
      <alignment horizontal="right"/>
    </xf>
    <xf numFmtId="166" fontId="0" fillId="7" borderId="0" xfId="85" applyNumberFormat="1" applyFill="1" applyAlignment="1">
      <alignment/>
    </xf>
    <xf numFmtId="166" fontId="6" fillId="10" borderId="7" xfId="85" applyNumberFormat="1" applyFont="1" applyFill="1" applyBorder="1" applyAlignment="1">
      <alignment/>
    </xf>
    <xf numFmtId="0" fontId="8" fillId="0" borderId="0" xfId="0" applyFont="1" applyFill="1" applyAlignment="1">
      <alignment/>
    </xf>
    <xf numFmtId="2" fontId="17" fillId="8" borderId="7" xfId="81" applyNumberFormat="1" applyFont="1" applyFill="1" applyBorder="1" applyAlignment="1">
      <alignment horizontal="right"/>
      <protection/>
    </xf>
    <xf numFmtId="2" fontId="26" fillId="8" borderId="7" xfId="81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center"/>
    </xf>
    <xf numFmtId="166" fontId="27" fillId="0" borderId="22" xfId="85" applyNumberFormat="1" applyFont="1" applyBorder="1" applyAlignment="1">
      <alignment/>
    </xf>
    <xf numFmtId="166" fontId="20" fillId="0" borderId="0" xfId="85" applyNumberFormat="1" applyFont="1" applyAlignment="1">
      <alignment/>
    </xf>
    <xf numFmtId="165" fontId="37" fillId="4" borderId="7" xfId="81" applyFont="1" applyFill="1" applyBorder="1" applyAlignment="1">
      <alignment horizontal="right"/>
      <protection/>
    </xf>
    <xf numFmtId="0" fontId="59" fillId="22" borderId="0" xfId="0" applyFont="1" applyFill="1" applyAlignment="1">
      <alignment/>
    </xf>
    <xf numFmtId="0" fontId="60" fillId="22" borderId="0" xfId="0" applyFont="1" applyFill="1" applyAlignment="1">
      <alignment/>
    </xf>
    <xf numFmtId="0" fontId="0" fillId="0" borderId="0" xfId="0" applyFont="1" applyAlignment="1">
      <alignment/>
    </xf>
    <xf numFmtId="165" fontId="4" fillId="0" borderId="0" xfId="81" applyFont="1" applyFill="1" applyAlignment="1">
      <alignment horizontal="left"/>
      <protection/>
    </xf>
    <xf numFmtId="165" fontId="33" fillId="27" borderId="27" xfId="81" applyNumberFormat="1" applyFont="1" applyFill="1" applyBorder="1" applyAlignment="1">
      <alignment/>
      <protection/>
    </xf>
    <xf numFmtId="165" fontId="37" fillId="0" borderId="25" xfId="81" applyNumberFormat="1" applyFont="1" applyFill="1" applyBorder="1" applyAlignment="1">
      <alignment horizontal="center"/>
      <protection/>
    </xf>
    <xf numFmtId="165" fontId="33" fillId="0" borderId="25" xfId="81" applyNumberFormat="1" applyFont="1" applyFill="1" applyBorder="1" applyAlignment="1">
      <alignment horizontal="center"/>
      <protection/>
    </xf>
    <xf numFmtId="165" fontId="37" fillId="0" borderId="27" xfId="81" applyNumberFormat="1" applyFont="1" applyFill="1" applyBorder="1" applyAlignment="1">
      <alignment horizontal="center"/>
      <protection/>
    </xf>
    <xf numFmtId="165" fontId="21" fillId="0" borderId="0" xfId="81" applyFont="1" applyFill="1" applyAlignment="1">
      <alignment horizontal="left"/>
      <protection/>
    </xf>
    <xf numFmtId="165" fontId="33" fillId="0" borderId="27" xfId="81" applyNumberFormat="1" applyFont="1" applyFill="1" applyBorder="1" applyAlignment="1">
      <alignment horizontal="center"/>
      <protection/>
    </xf>
    <xf numFmtId="165" fontId="37" fillId="0" borderId="0" xfId="81" applyNumberFormat="1" applyFont="1" applyFill="1" applyBorder="1" applyAlignment="1">
      <alignment horizontal="center"/>
      <protection/>
    </xf>
    <xf numFmtId="165" fontId="33" fillId="0" borderId="0" xfId="81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30" borderId="0" xfId="0" applyFill="1" applyAlignment="1">
      <alignment/>
    </xf>
    <xf numFmtId="0" fontId="31" fillId="0" borderId="0" xfId="0" applyFont="1" applyAlignment="1">
      <alignment/>
    </xf>
    <xf numFmtId="165" fontId="27" fillId="30" borderId="0" xfId="0" applyNumberFormat="1" applyFont="1" applyFill="1" applyAlignment="1">
      <alignment/>
    </xf>
    <xf numFmtId="166" fontId="0" fillId="0" borderId="0" xfId="85" applyNumberFormat="1" applyFont="1" applyAlignment="1">
      <alignment/>
    </xf>
    <xf numFmtId="165" fontId="17" fillId="4" borderId="0" xfId="81" applyFont="1" applyFill="1" applyBorder="1" applyAlignment="1">
      <alignment/>
      <protection/>
    </xf>
    <xf numFmtId="165" fontId="0" fillId="0" borderId="0" xfId="0" applyNumberFormat="1" applyFont="1" applyAlignment="1">
      <alignment/>
    </xf>
    <xf numFmtId="165" fontId="27" fillId="31" borderId="0" xfId="0" applyNumberFormat="1" applyFont="1" applyFill="1" applyAlignment="1">
      <alignment/>
    </xf>
    <xf numFmtId="165" fontId="27" fillId="25" borderId="0" xfId="0" applyNumberFormat="1" applyFont="1" applyFill="1" applyAlignment="1">
      <alignment/>
    </xf>
    <xf numFmtId="3" fontId="27" fillId="3" borderId="0" xfId="0" applyNumberFormat="1" applyFont="1" applyFill="1" applyBorder="1" applyAlignment="1">
      <alignment horizontal="right"/>
    </xf>
    <xf numFmtId="3" fontId="24" fillId="3" borderId="0" xfId="0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165" fontId="27" fillId="24" borderId="0" xfId="0" applyNumberFormat="1" applyFont="1" applyFill="1" applyBorder="1" applyAlignment="1">
      <alignment horizontal="right"/>
    </xf>
    <xf numFmtId="165" fontId="24" fillId="24" borderId="0" xfId="0" applyNumberFormat="1" applyFont="1" applyFill="1" applyBorder="1" applyAlignment="1">
      <alignment horizontal="right"/>
    </xf>
    <xf numFmtId="168" fontId="27" fillId="24" borderId="0" xfId="0" applyNumberFormat="1" applyFont="1" applyFill="1" applyBorder="1" applyAlignment="1">
      <alignment horizontal="right"/>
    </xf>
    <xf numFmtId="168" fontId="24" fillId="24" borderId="0" xfId="0" applyNumberFormat="1" applyFont="1" applyFill="1" applyBorder="1" applyAlignment="1">
      <alignment horizontal="right"/>
    </xf>
    <xf numFmtId="168" fontId="27" fillId="24" borderId="0" xfId="85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49" fontId="11" fillId="32" borderId="0" xfId="0" applyNumberFormat="1" applyFont="1" applyFill="1" applyAlignment="1">
      <alignment horizontal="center"/>
    </xf>
    <xf numFmtId="0" fontId="15" fillId="32" borderId="0" xfId="0" applyFont="1" applyFill="1" applyBorder="1" applyAlignment="1">
      <alignment/>
    </xf>
    <xf numFmtId="165" fontId="63" fillId="32" borderId="0" xfId="0" applyNumberFormat="1" applyFont="1" applyFill="1" applyBorder="1" applyAlignment="1">
      <alignment horizontal="right"/>
    </xf>
    <xf numFmtId="167" fontId="5" fillId="24" borderId="7" xfId="85" applyNumberFormat="1" applyFont="1" applyFill="1" applyBorder="1" applyAlignment="1" quotePrefix="1">
      <alignment/>
    </xf>
    <xf numFmtId="167" fontId="5" fillId="10" borderId="7" xfId="85" applyNumberFormat="1" applyFont="1" applyFill="1" applyBorder="1" applyAlignment="1" quotePrefix="1">
      <alignment/>
    </xf>
    <xf numFmtId="167" fontId="5" fillId="25" borderId="7" xfId="85" applyNumberFormat="1" applyFont="1" applyFill="1" applyBorder="1" applyAlignment="1" quotePrefix="1">
      <alignment/>
    </xf>
    <xf numFmtId="165" fontId="25" fillId="31" borderId="22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3" fontId="64" fillId="0" borderId="0" xfId="0" applyNumberFormat="1" applyFont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40" fillId="33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15" fillId="35" borderId="0" xfId="0" applyFont="1" applyFill="1" applyBorder="1" applyAlignment="1">
      <alignment/>
    </xf>
    <xf numFmtId="49" fontId="18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11" fillId="35" borderId="0" xfId="0" applyNumberFormat="1" applyFont="1" applyFill="1" applyAlignment="1">
      <alignment horizontal="center"/>
    </xf>
    <xf numFmtId="0" fontId="14" fillId="35" borderId="0" xfId="0" applyFont="1" applyFill="1" applyBorder="1" applyAlignment="1">
      <alignment/>
    </xf>
    <xf numFmtId="165" fontId="27" fillId="35" borderId="0" xfId="0" applyNumberFormat="1" applyFont="1" applyFill="1" applyBorder="1" applyAlignment="1">
      <alignment horizontal="right"/>
    </xf>
    <xf numFmtId="165" fontId="27" fillId="35" borderId="0" xfId="0" applyNumberFormat="1" applyFont="1" applyFill="1" applyAlignment="1">
      <alignment/>
    </xf>
    <xf numFmtId="165" fontId="24" fillId="35" borderId="0" xfId="0" applyNumberFormat="1" applyFont="1" applyFill="1" applyAlignment="1">
      <alignment/>
    </xf>
    <xf numFmtId="165" fontId="0" fillId="35" borderId="0" xfId="0" applyNumberFormat="1" applyFill="1" applyAlignment="1">
      <alignment/>
    </xf>
    <xf numFmtId="2" fontId="14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73" fontId="14" fillId="0" borderId="0" xfId="42" applyNumberFormat="1" applyFont="1" applyAlignment="1">
      <alignment horizontal="center"/>
    </xf>
    <xf numFmtId="173" fontId="19" fillId="0" borderId="0" xfId="42" applyNumberFormat="1" applyFont="1" applyAlignment="1">
      <alignment horizontal="center"/>
    </xf>
    <xf numFmtId="170" fontId="14" fillId="0" borderId="0" xfId="0" applyNumberFormat="1" applyFont="1" applyAlignment="1">
      <alignment horizontal="center"/>
    </xf>
    <xf numFmtId="170" fontId="19" fillId="0" borderId="0" xfId="0" applyNumberFormat="1" applyFont="1" applyAlignment="1">
      <alignment horizontal="center"/>
    </xf>
    <xf numFmtId="10" fontId="14" fillId="0" borderId="0" xfId="85" applyNumberFormat="1" applyFont="1" applyAlignment="1">
      <alignment horizontal="center"/>
    </xf>
    <xf numFmtId="10" fontId="19" fillId="0" borderId="0" xfId="85" applyNumberFormat="1" applyFont="1" applyAlignment="1">
      <alignment horizontal="center"/>
    </xf>
    <xf numFmtId="49" fontId="0" fillId="7" borderId="0" xfId="0" applyNumberFormat="1" applyFont="1" applyFill="1" applyBorder="1" applyAlignment="1">
      <alignment horizontal="left" indent="6"/>
    </xf>
    <xf numFmtId="0" fontId="8" fillId="22" borderId="0" xfId="0" applyFont="1" applyFill="1" applyAlignment="1">
      <alignment horizontal="center"/>
    </xf>
    <xf numFmtId="171" fontId="0" fillId="36" borderId="0" xfId="0" applyNumberFormat="1" applyFill="1" applyAlignment="1">
      <alignment/>
    </xf>
    <xf numFmtId="171" fontId="8" fillId="36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9" fillId="4" borderId="0" xfId="57" applyNumberFormat="1" applyFont="1" applyFill="1">
      <alignment/>
      <protection/>
    </xf>
    <xf numFmtId="49" fontId="9" fillId="10" borderId="0" xfId="57" applyNumberFormat="1" applyFont="1" applyFill="1">
      <alignment/>
      <protection/>
    </xf>
    <xf numFmtId="1" fontId="14" fillId="10" borderId="0" xfId="57" applyNumberFormat="1" applyFont="1" applyFill="1" applyAlignment="1">
      <alignment horizontal="center"/>
      <protection/>
    </xf>
    <xf numFmtId="0" fontId="24" fillId="0" borderId="0" xfId="57" applyFont="1">
      <alignment/>
      <protection/>
    </xf>
    <xf numFmtId="165" fontId="25" fillId="0" borderId="0" xfId="57" applyNumberFormat="1" applyFont="1">
      <alignment/>
      <protection/>
    </xf>
    <xf numFmtId="0" fontId="0" fillId="0" borderId="0" xfId="57">
      <alignment/>
      <protection/>
    </xf>
    <xf numFmtId="49" fontId="21" fillId="0" borderId="0" xfId="57" applyNumberFormat="1" applyFont="1" applyFill="1" applyAlignment="1">
      <alignment horizontal="center"/>
      <protection/>
    </xf>
    <xf numFmtId="0" fontId="0" fillId="30" borderId="0" xfId="57" applyFill="1">
      <alignment/>
      <protection/>
    </xf>
    <xf numFmtId="0" fontId="31" fillId="0" borderId="0" xfId="57" applyFont="1">
      <alignment/>
      <protection/>
    </xf>
    <xf numFmtId="165" fontId="14" fillId="17" borderId="0" xfId="57" applyNumberFormat="1" applyFont="1" applyFill="1">
      <alignment/>
      <protection/>
    </xf>
    <xf numFmtId="49" fontId="9" fillId="0" borderId="0" xfId="57" applyNumberFormat="1" applyFont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0" fontId="19" fillId="0" borderId="0" xfId="57" applyNumberFormat="1" applyFont="1" applyAlignment="1">
      <alignment horizontal="center"/>
      <protection/>
    </xf>
    <xf numFmtId="0" fontId="14" fillId="0" borderId="0" xfId="57" applyNumberFormat="1" applyFont="1" applyAlignment="1">
      <alignment horizontal="center"/>
      <protection/>
    </xf>
    <xf numFmtId="49" fontId="36" fillId="0" borderId="0" xfId="57" applyNumberFormat="1" applyFont="1" applyFill="1" applyAlignment="1">
      <alignment horizontal="left"/>
      <protection/>
    </xf>
    <xf numFmtId="49" fontId="3" fillId="0" borderId="0" xfId="57" applyNumberFormat="1" applyFont="1" applyFill="1" applyAlignment="1">
      <alignment horizontal="left"/>
      <protection/>
    </xf>
    <xf numFmtId="49" fontId="32" fillId="0" borderId="0" xfId="57" applyNumberFormat="1" applyFont="1" applyFill="1" applyAlignment="1">
      <alignment horizontal="left"/>
      <protection/>
    </xf>
    <xf numFmtId="0" fontId="27" fillId="0" borderId="0" xfId="57" applyFont="1">
      <alignment/>
      <protection/>
    </xf>
    <xf numFmtId="166" fontId="27" fillId="0" borderId="0" xfId="57" applyNumberFormat="1" applyFont="1">
      <alignment/>
      <protection/>
    </xf>
    <xf numFmtId="165" fontId="27" fillId="0" borderId="0" xfId="57" applyNumberFormat="1" applyFont="1">
      <alignment/>
      <protection/>
    </xf>
    <xf numFmtId="165" fontId="24" fillId="0" borderId="0" xfId="57" applyNumberFormat="1" applyFont="1">
      <alignment/>
      <protection/>
    </xf>
    <xf numFmtId="165" fontId="27" fillId="30" borderId="0" xfId="57" applyNumberFormat="1" applyFont="1" applyFill="1">
      <alignment/>
      <protection/>
    </xf>
    <xf numFmtId="165" fontId="0" fillId="0" borderId="0" xfId="57" applyNumberFormat="1">
      <alignment/>
      <protection/>
    </xf>
    <xf numFmtId="166" fontId="27" fillId="0" borderId="0" xfId="57" applyNumberFormat="1" applyFont="1" applyFill="1">
      <alignment/>
      <protection/>
    </xf>
    <xf numFmtId="165" fontId="8" fillId="0" borderId="0" xfId="57" applyNumberFormat="1" applyFont="1">
      <alignment/>
      <protection/>
    </xf>
    <xf numFmtId="0" fontId="27" fillId="0" borderId="0" xfId="57" applyNumberFormat="1" applyFont="1" applyAlignment="1">
      <alignment horizontal="center"/>
      <protection/>
    </xf>
    <xf numFmtId="0" fontId="24" fillId="0" borderId="0" xfId="57" applyNumberFormat="1" applyFont="1" applyAlignment="1">
      <alignment horizontal="center"/>
      <protection/>
    </xf>
    <xf numFmtId="0" fontId="25" fillId="0" borderId="0" xfId="57" applyNumberFormat="1" applyFont="1">
      <alignment/>
      <protection/>
    </xf>
    <xf numFmtId="0" fontId="25" fillId="0" borderId="0" xfId="57" applyNumberFormat="1" applyFont="1" applyAlignment="1">
      <alignment horizontal="center"/>
      <protection/>
    </xf>
    <xf numFmtId="165" fontId="20" fillId="0" borderId="0" xfId="57" applyNumberFormat="1" applyFont="1">
      <alignment/>
      <protection/>
    </xf>
    <xf numFmtId="49" fontId="33" fillId="0" borderId="0" xfId="57" applyNumberFormat="1" applyFont="1" applyFill="1" applyAlignment="1">
      <alignment horizontal="left"/>
      <protection/>
    </xf>
    <xf numFmtId="165" fontId="27" fillId="0" borderId="22" xfId="57" applyNumberFormat="1" applyFont="1" applyBorder="1">
      <alignment/>
      <protection/>
    </xf>
    <xf numFmtId="165" fontId="24" fillId="0" borderId="22" xfId="57" applyNumberFormat="1" applyFont="1" applyBorder="1">
      <alignment/>
      <protection/>
    </xf>
    <xf numFmtId="165" fontId="25" fillId="0" borderId="22" xfId="57" applyNumberFormat="1" applyFont="1" applyBorder="1">
      <alignment/>
      <protection/>
    </xf>
    <xf numFmtId="165" fontId="19" fillId="0" borderId="0" xfId="57" applyNumberFormat="1" applyFont="1">
      <alignment/>
      <protection/>
    </xf>
    <xf numFmtId="165" fontId="14" fillId="0" borderId="0" xfId="57" applyNumberFormat="1" applyFont="1">
      <alignment/>
      <protection/>
    </xf>
    <xf numFmtId="49" fontId="4" fillId="0" borderId="0" xfId="57" applyNumberFormat="1" applyFont="1" applyFill="1" applyAlignment="1">
      <alignment horizontal="left" indent="1"/>
      <protection/>
    </xf>
    <xf numFmtId="0" fontId="0" fillId="0" borderId="0" xfId="57" applyFill="1">
      <alignment/>
      <protection/>
    </xf>
    <xf numFmtId="49" fontId="4" fillId="0" borderId="0" xfId="57" applyNumberFormat="1" applyFont="1" applyFill="1" applyAlignment="1">
      <alignment horizontal="left"/>
      <protection/>
    </xf>
    <xf numFmtId="165" fontId="0" fillId="0" borderId="0" xfId="57" applyNumberFormat="1" applyFill="1">
      <alignment/>
      <protection/>
    </xf>
    <xf numFmtId="4" fontId="27" fillId="0" borderId="0" xfId="57" applyNumberFormat="1" applyFont="1">
      <alignment/>
      <protection/>
    </xf>
    <xf numFmtId="4" fontId="24" fillId="0" borderId="0" xfId="57" applyNumberFormat="1" applyFont="1">
      <alignment/>
      <protection/>
    </xf>
    <xf numFmtId="4" fontId="25" fillId="0" borderId="0" xfId="57" applyNumberFormat="1" applyFont="1">
      <alignment/>
      <protection/>
    </xf>
    <xf numFmtId="49" fontId="4" fillId="0" borderId="0" xfId="57" applyNumberFormat="1" applyFont="1" applyFill="1" applyAlignment="1">
      <alignment horizontal="left" indent="2"/>
      <protection/>
    </xf>
    <xf numFmtId="166" fontId="0" fillId="0" borderId="0" xfId="57" applyNumberFormat="1">
      <alignment/>
      <protection/>
    </xf>
    <xf numFmtId="165" fontId="27" fillId="0" borderId="0" xfId="57" applyNumberFormat="1" applyFont="1" applyFill="1">
      <alignment/>
      <protection/>
    </xf>
    <xf numFmtId="165" fontId="24" fillId="0" borderId="0" xfId="57" applyNumberFormat="1" applyFont="1" applyFill="1">
      <alignment/>
      <protection/>
    </xf>
    <xf numFmtId="165" fontId="25" fillId="0" borderId="0" xfId="57" applyNumberFormat="1" applyFont="1" applyFill="1">
      <alignment/>
      <protection/>
    </xf>
    <xf numFmtId="165" fontId="8" fillId="0" borderId="0" xfId="57" applyNumberFormat="1" applyFont="1" applyFill="1">
      <alignment/>
      <protection/>
    </xf>
    <xf numFmtId="165" fontId="19" fillId="0" borderId="0" xfId="57" applyNumberFormat="1" applyFont="1" applyFill="1" applyBorder="1">
      <alignment/>
      <protection/>
    </xf>
    <xf numFmtId="165" fontId="20" fillId="0" borderId="0" xfId="57" applyNumberFormat="1" applyFont="1" applyFill="1" applyBorder="1">
      <alignment/>
      <protection/>
    </xf>
    <xf numFmtId="165" fontId="14" fillId="0" borderId="0" xfId="57" applyNumberFormat="1" applyFont="1" applyFill="1" applyBorder="1">
      <alignment/>
      <protection/>
    </xf>
    <xf numFmtId="165" fontId="25" fillId="31" borderId="22" xfId="57" applyNumberFormat="1" applyFont="1" applyFill="1" applyBorder="1">
      <alignment/>
      <protection/>
    </xf>
    <xf numFmtId="165" fontId="14" fillId="0" borderId="0" xfId="57" applyNumberFormat="1" applyFont="1" applyFill="1">
      <alignment/>
      <protection/>
    </xf>
    <xf numFmtId="165" fontId="27" fillId="0" borderId="0" xfId="57" applyNumberFormat="1" applyFont="1" applyFill="1" applyBorder="1">
      <alignment/>
      <protection/>
    </xf>
    <xf numFmtId="165" fontId="24" fillId="0" borderId="0" xfId="57" applyNumberFormat="1" applyFont="1" applyFill="1" applyBorder="1">
      <alignment/>
      <protection/>
    </xf>
    <xf numFmtId="49" fontId="22" fillId="0" borderId="0" xfId="57" applyNumberFormat="1" applyFont="1" applyFill="1" applyAlignment="1">
      <alignment horizontal="left" indent="1"/>
      <protection/>
    </xf>
    <xf numFmtId="49" fontId="4" fillId="0" borderId="0" xfId="57" applyNumberFormat="1" applyFont="1">
      <alignment/>
      <protection/>
    </xf>
    <xf numFmtId="165" fontId="8" fillId="0" borderId="0" xfId="57" applyNumberFormat="1" applyFont="1" applyBorder="1">
      <alignment/>
      <protection/>
    </xf>
    <xf numFmtId="165" fontId="0" fillId="0" borderId="0" xfId="57" applyNumberFormat="1" applyFont="1">
      <alignment/>
      <protection/>
    </xf>
    <xf numFmtId="165" fontId="25" fillId="0" borderId="0" xfId="57" applyNumberFormat="1" applyFont="1" applyBorder="1">
      <alignment/>
      <protection/>
    </xf>
    <xf numFmtId="165" fontId="20" fillId="0" borderId="0" xfId="57" applyNumberFormat="1" applyFont="1" applyAlignment="1">
      <alignment horizontal="center"/>
      <protection/>
    </xf>
    <xf numFmtId="165" fontId="27" fillId="31" borderId="0" xfId="57" applyNumberFormat="1" applyFont="1" applyFill="1">
      <alignment/>
      <protection/>
    </xf>
    <xf numFmtId="169" fontId="0" fillId="0" borderId="0" xfId="57" applyNumberFormat="1">
      <alignment/>
      <protection/>
    </xf>
    <xf numFmtId="3" fontId="27" fillId="0" borderId="0" xfId="57" applyNumberFormat="1" applyFont="1">
      <alignment/>
      <protection/>
    </xf>
    <xf numFmtId="3" fontId="24" fillId="0" borderId="0" xfId="57" applyNumberFormat="1" applyFont="1">
      <alignment/>
      <protection/>
    </xf>
    <xf numFmtId="3" fontId="25" fillId="0" borderId="0" xfId="57" applyNumberFormat="1" applyFont="1">
      <alignment/>
      <protection/>
    </xf>
    <xf numFmtId="167" fontId="27" fillId="0" borderId="0" xfId="57" applyNumberFormat="1" applyFont="1">
      <alignment/>
      <protection/>
    </xf>
    <xf numFmtId="167" fontId="24" fillId="0" borderId="0" xfId="57" applyNumberFormat="1" applyFont="1">
      <alignment/>
      <protection/>
    </xf>
    <xf numFmtId="167" fontId="25" fillId="0" borderId="0" xfId="57" applyNumberFormat="1" applyFont="1">
      <alignment/>
      <protection/>
    </xf>
    <xf numFmtId="0" fontId="4" fillId="0" borderId="0" xfId="57" applyFont="1">
      <alignment/>
      <protection/>
    </xf>
    <xf numFmtId="166" fontId="24" fillId="0" borderId="0" xfId="57" applyNumberFormat="1" applyFont="1">
      <alignment/>
      <protection/>
    </xf>
    <xf numFmtId="166" fontId="25" fillId="0" borderId="0" xfId="57" applyNumberFormat="1" applyFont="1">
      <alignment/>
      <protection/>
    </xf>
    <xf numFmtId="49" fontId="3" fillId="0" borderId="0" xfId="57" applyNumberFormat="1" applyFont="1" applyFill="1" applyAlignment="1">
      <alignment horizontal="left" indent="1"/>
      <protection/>
    </xf>
    <xf numFmtId="165" fontId="33" fillId="4" borderId="7" xfId="81" applyNumberFormat="1" applyFont="1" applyFill="1" applyBorder="1" applyAlignment="1">
      <alignment horizontal="right"/>
      <protection/>
    </xf>
    <xf numFmtId="165" fontId="26" fillId="0" borderId="0" xfId="81" applyNumberFormat="1" applyFont="1">
      <alignment/>
      <protection/>
    </xf>
    <xf numFmtId="165" fontId="26" fillId="4" borderId="29" xfId="81" applyNumberFormat="1" applyFont="1" applyFill="1" applyBorder="1" applyAlignment="1">
      <alignment/>
      <protection/>
    </xf>
    <xf numFmtId="165" fontId="26" fillId="4" borderId="27" xfId="81" applyNumberFormat="1" applyFont="1" applyFill="1" applyBorder="1" applyAlignment="1">
      <alignment horizontal="right"/>
      <protection/>
    </xf>
    <xf numFmtId="165" fontId="17" fillId="0" borderId="0" xfId="81" applyNumberFormat="1" applyFont="1">
      <alignment/>
      <protection/>
    </xf>
    <xf numFmtId="165" fontId="17" fillId="0" borderId="14" xfId="81" applyNumberFormat="1" applyFont="1" applyFill="1" applyBorder="1" applyAlignment="1">
      <alignment horizontal="left"/>
      <protection/>
    </xf>
    <xf numFmtId="0" fontId="9" fillId="37" borderId="0" xfId="0" applyFont="1" applyFill="1" applyAlignment="1">
      <alignment horizontal="left" indent="1"/>
    </xf>
    <xf numFmtId="0" fontId="38" fillId="37" borderId="0" xfId="0" applyFont="1" applyFill="1" applyAlignment="1">
      <alignment horizontal="left" indent="1"/>
    </xf>
    <xf numFmtId="0" fontId="65" fillId="38" borderId="0" xfId="0" applyFont="1" applyFill="1" applyAlignment="1">
      <alignment horizontal="center"/>
    </xf>
    <xf numFmtId="2" fontId="24" fillId="0" borderId="0" xfId="0" applyNumberFormat="1" applyFont="1" applyAlignment="1">
      <alignment/>
    </xf>
    <xf numFmtId="165" fontId="27" fillId="0" borderId="0" xfId="85" applyNumberFormat="1" applyFont="1" applyAlignment="1">
      <alignment/>
    </xf>
    <xf numFmtId="165" fontId="5" fillId="0" borderId="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26" fillId="0" borderId="0" xfId="81" applyNumberFormat="1" applyFont="1" applyFill="1" applyBorder="1" applyAlignment="1">
      <alignment/>
      <protection/>
    </xf>
    <xf numFmtId="165" fontId="26" fillId="0" borderId="0" xfId="81" applyNumberFormat="1" applyFont="1" applyFill="1" applyBorder="1" applyAlignment="1">
      <alignment/>
      <protection/>
    </xf>
    <xf numFmtId="165" fontId="27" fillId="0" borderId="0" xfId="0" applyNumberFormat="1" applyFont="1" applyFill="1" applyBorder="1" applyAlignment="1">
      <alignment/>
    </xf>
    <xf numFmtId="170" fontId="17" fillId="0" borderId="0" xfId="81" applyNumberFormat="1" applyFont="1" applyFill="1" applyBorder="1" applyAlignment="1">
      <alignment horizontal="right"/>
      <protection/>
    </xf>
    <xf numFmtId="165" fontId="26" fillId="0" borderId="0" xfId="81" applyNumberFormat="1" applyFont="1" applyFill="1" applyBorder="1" applyAlignment="1">
      <alignment horizontal="right"/>
      <protection/>
    </xf>
    <xf numFmtId="1" fontId="26" fillId="0" borderId="0" xfId="81" applyNumberFormat="1" applyFont="1" applyFill="1" applyBorder="1" applyAlignment="1">
      <alignment horizontal="right"/>
      <protection/>
    </xf>
    <xf numFmtId="10" fontId="26" fillId="0" borderId="0" xfId="81" applyNumberFormat="1" applyFont="1" applyFill="1" applyBorder="1" applyAlignment="1">
      <alignment horizontal="right"/>
      <protection/>
    </xf>
    <xf numFmtId="167" fontId="26" fillId="0" borderId="0" xfId="81" applyNumberFormat="1" applyFont="1" applyFill="1" applyBorder="1" applyAlignment="1">
      <alignment horizontal="right"/>
      <protection/>
    </xf>
    <xf numFmtId="2" fontId="26" fillId="0" borderId="0" xfId="81" applyNumberFormat="1" applyFont="1" applyFill="1" applyBorder="1" applyAlignment="1">
      <alignment horizontal="right"/>
      <protection/>
    </xf>
    <xf numFmtId="0" fontId="19" fillId="0" borderId="0" xfId="0" applyFont="1" applyAlignment="1">
      <alignment horizontal="center"/>
    </xf>
    <xf numFmtId="0" fontId="0" fillId="26" borderId="0" xfId="0" applyFont="1" applyFill="1" applyAlignment="1">
      <alignment/>
    </xf>
    <xf numFmtId="0" fontId="0" fillId="27" borderId="0" xfId="0" applyFont="1" applyFill="1" applyAlignment="1">
      <alignment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0 3" xfId="59"/>
    <cellStyle name="Normal 10 4" xfId="60"/>
    <cellStyle name="Normal 10 5" xfId="61"/>
    <cellStyle name="Normal 10 6" xfId="62"/>
    <cellStyle name="Normal 11" xfId="63"/>
    <cellStyle name="Normal 11 2" xfId="64"/>
    <cellStyle name="Normal 12" xfId="65"/>
    <cellStyle name="Normal 13" xfId="66"/>
    <cellStyle name="Normal 2" xfId="67"/>
    <cellStyle name="Normal 2 2" xfId="68"/>
    <cellStyle name="Normal 2 3" xfId="69"/>
    <cellStyle name="Normal 2 4" xfId="70"/>
    <cellStyle name="Normal 2 5" xfId="71"/>
    <cellStyle name="Normal 2 6" xfId="72"/>
    <cellStyle name="Normal 2 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-Ass" xfId="81"/>
    <cellStyle name="Normal_Health Weights for LTFM" xfId="82"/>
    <cellStyle name="Note" xfId="83"/>
    <cellStyle name="Output" xfId="84"/>
    <cellStyle name="Percent" xfId="85"/>
    <cellStyle name="Percent 2" xfId="86"/>
    <cellStyle name="Percent 2 2" xfId="87"/>
    <cellStyle name="Percent 2 3" xfId="88"/>
    <cellStyle name="Percent 2 4" xfId="89"/>
    <cellStyle name="Percent 2 5" xfId="90"/>
    <cellStyle name="Percent 2 6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140625" style="119" customWidth="1"/>
    <col min="2" max="16384" width="9.140625" style="208" customWidth="1"/>
  </cols>
  <sheetData>
    <row r="1" spans="1:11" ht="21.75" customHeight="1">
      <c r="A1" s="321" t="s">
        <v>879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8.75">
      <c r="A2" s="214" t="s">
        <v>585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2" ht="12.75">
      <c r="A3" s="216" t="s">
        <v>333</v>
      </c>
      <c r="B3" s="208" t="s">
        <v>880</v>
      </c>
    </row>
    <row r="4" spans="1:2" ht="12.75">
      <c r="A4" s="119" t="s">
        <v>586</v>
      </c>
      <c r="B4" s="208" t="s">
        <v>881</v>
      </c>
    </row>
    <row r="5" spans="1:2" ht="12.75">
      <c r="A5" s="119" t="s">
        <v>587</v>
      </c>
      <c r="B5" s="208" t="s">
        <v>881</v>
      </c>
    </row>
    <row r="6" spans="1:2" ht="12.75">
      <c r="A6" s="119" t="s">
        <v>588</v>
      </c>
      <c r="B6" s="208" t="s">
        <v>882</v>
      </c>
    </row>
    <row r="7" ht="12.75">
      <c r="B7" s="208" t="s">
        <v>883</v>
      </c>
    </row>
    <row r="8" spans="1:2" ht="12.75">
      <c r="A8" s="119" t="s">
        <v>589</v>
      </c>
      <c r="B8" s="208" t="s">
        <v>881</v>
      </c>
    </row>
    <row r="9" spans="1:2" ht="12.75">
      <c r="A9" s="119" t="s">
        <v>590</v>
      </c>
      <c r="B9" s="487" t="s">
        <v>947</v>
      </c>
    </row>
    <row r="10" ht="12.75">
      <c r="B10" s="208" t="s">
        <v>169</v>
      </c>
    </row>
    <row r="11" spans="1:2" ht="12.75">
      <c r="A11" s="119" t="s">
        <v>591</v>
      </c>
      <c r="B11" s="208" t="s">
        <v>884</v>
      </c>
    </row>
    <row r="12" spans="1:2" ht="12.75">
      <c r="A12" s="119" t="s">
        <v>592</v>
      </c>
      <c r="B12" s="487" t="s">
        <v>948</v>
      </c>
    </row>
    <row r="13" spans="1:2" ht="12.75">
      <c r="A13" s="119" t="s">
        <v>181</v>
      </c>
      <c r="B13" s="208" t="s">
        <v>885</v>
      </c>
    </row>
    <row r="14" spans="1:2" ht="12.75">
      <c r="A14" s="119" t="s">
        <v>468</v>
      </c>
      <c r="B14" s="208" t="s">
        <v>3</v>
      </c>
    </row>
    <row r="15" spans="1:2" ht="12.75">
      <c r="A15" s="119" t="s">
        <v>593</v>
      </c>
      <c r="B15" s="208" t="s">
        <v>179</v>
      </c>
    </row>
    <row r="16" spans="1:2" ht="12.75">
      <c r="A16" s="119" t="s">
        <v>580</v>
      </c>
      <c r="B16" s="208" t="s">
        <v>881</v>
      </c>
    </row>
    <row r="17" spans="1:2" ht="12.75">
      <c r="A17" s="119" t="s">
        <v>259</v>
      </c>
      <c r="B17" s="208" t="s">
        <v>436</v>
      </c>
    </row>
    <row r="18" spans="1:2" ht="12.75">
      <c r="A18" s="119" t="s">
        <v>260</v>
      </c>
      <c r="B18" s="208" t="s">
        <v>437</v>
      </c>
    </row>
    <row r="19" spans="1:2" ht="12.75">
      <c r="A19" s="119" t="s">
        <v>261</v>
      </c>
      <c r="B19" s="208" t="s">
        <v>106</v>
      </c>
    </row>
    <row r="21" spans="1:2" ht="12.75">
      <c r="A21" s="216" t="s">
        <v>180</v>
      </c>
      <c r="B21" s="209" t="s">
        <v>170</v>
      </c>
    </row>
    <row r="22" spans="1:2" ht="12.75">
      <c r="A22" s="119" t="s">
        <v>421</v>
      </c>
      <c r="B22" s="208" t="s">
        <v>928</v>
      </c>
    </row>
    <row r="23" ht="12.75">
      <c r="B23" s="208" t="s">
        <v>927</v>
      </c>
    </row>
    <row r="24" spans="1:2" ht="12.75">
      <c r="A24" s="119" t="s">
        <v>171</v>
      </c>
      <c r="B24" s="208" t="s">
        <v>929</v>
      </c>
    </row>
    <row r="25" ht="12.75">
      <c r="B25" s="208" t="s">
        <v>930</v>
      </c>
    </row>
    <row r="26" spans="1:2" ht="12.75">
      <c r="A26" s="217" t="s">
        <v>182</v>
      </c>
      <c r="B26" s="208" t="s">
        <v>167</v>
      </c>
    </row>
    <row r="27" spans="1:2" ht="12.75">
      <c r="A27" s="486" t="s">
        <v>949</v>
      </c>
      <c r="B27" s="487" t="s">
        <v>950</v>
      </c>
    </row>
    <row r="28" spans="1:2" ht="12.75">
      <c r="A28" s="486" t="s">
        <v>931</v>
      </c>
      <c r="B28" s="208" t="s">
        <v>932</v>
      </c>
    </row>
    <row r="29" spans="1:2" ht="12.75">
      <c r="A29" s="216"/>
      <c r="B29" s="208" t="s">
        <v>941</v>
      </c>
    </row>
    <row r="30" spans="1:2" ht="12.75">
      <c r="A30" s="217"/>
      <c r="B30" s="208" t="s">
        <v>942</v>
      </c>
    </row>
    <row r="31" spans="1:2" ht="12.75">
      <c r="A31" s="486" t="s">
        <v>933</v>
      </c>
      <c r="B31" s="208" t="s">
        <v>934</v>
      </c>
    </row>
    <row r="32" spans="1:2" ht="12.75">
      <c r="A32" s="486"/>
      <c r="B32" s="208" t="s">
        <v>936</v>
      </c>
    </row>
    <row r="33" spans="1:2" ht="12.75">
      <c r="A33" s="486"/>
      <c r="B33" s="208" t="s">
        <v>935</v>
      </c>
    </row>
    <row r="34" spans="1:2" ht="12.75">
      <c r="A34" s="486" t="s">
        <v>183</v>
      </c>
      <c r="B34" s="208" t="s">
        <v>168</v>
      </c>
    </row>
    <row r="35" ht="12.75">
      <c r="B35" s="208" t="s">
        <v>804</v>
      </c>
    </row>
    <row r="37" spans="1:2" ht="12.75">
      <c r="A37" s="216" t="s">
        <v>945</v>
      </c>
      <c r="B37" s="487" t="s">
        <v>952</v>
      </c>
    </row>
    <row r="38" ht="12.75">
      <c r="B38" s="487" t="s">
        <v>951</v>
      </c>
    </row>
    <row r="39" ht="12.75">
      <c r="B39" s="487" t="s">
        <v>946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0.7109375" style="0" customWidth="1"/>
  </cols>
  <sheetData>
    <row r="1" spans="1:2" ht="15.75">
      <c r="A1" s="14" t="s">
        <v>412</v>
      </c>
      <c r="B1">
        <v>30</v>
      </c>
    </row>
    <row r="2" spans="1:2" ht="12.75">
      <c r="A2" s="50" t="s">
        <v>785</v>
      </c>
      <c r="B2" s="51">
        <v>1</v>
      </c>
    </row>
    <row r="3" spans="1:2" ht="12.75">
      <c r="A3" s="50" t="s">
        <v>380</v>
      </c>
      <c r="B3" s="51">
        <v>2</v>
      </c>
    </row>
    <row r="4" spans="1:2" ht="12.75">
      <c r="A4" s="50" t="s">
        <v>381</v>
      </c>
      <c r="B4" s="51">
        <v>3</v>
      </c>
    </row>
    <row r="5" spans="1:2" ht="12.75">
      <c r="A5" s="50" t="s">
        <v>382</v>
      </c>
      <c r="B5" s="51">
        <v>4</v>
      </c>
    </row>
    <row r="6" spans="1:2" ht="12.75">
      <c r="A6" s="50" t="s">
        <v>384</v>
      </c>
      <c r="B6" s="51">
        <v>5</v>
      </c>
    </row>
    <row r="7" spans="1:2" ht="12.75">
      <c r="A7" s="50" t="s">
        <v>786</v>
      </c>
      <c r="B7" s="51">
        <v>6</v>
      </c>
    </row>
    <row r="8" spans="1:2" ht="12.75">
      <c r="A8" s="50"/>
      <c r="B8" s="51">
        <v>7</v>
      </c>
    </row>
    <row r="9" spans="1:2" ht="12.75">
      <c r="A9" s="50" t="s">
        <v>410</v>
      </c>
      <c r="B9" s="51">
        <v>8</v>
      </c>
    </row>
    <row r="10" spans="1:2" ht="12.75">
      <c r="A10" s="50"/>
      <c r="B10" s="51">
        <v>9</v>
      </c>
    </row>
    <row r="11" spans="1:2" ht="12.75">
      <c r="A11" s="50" t="s">
        <v>787</v>
      </c>
      <c r="B11" s="51">
        <v>10</v>
      </c>
    </row>
    <row r="12" spans="1:2" ht="12.75">
      <c r="A12" s="50" t="s">
        <v>385</v>
      </c>
      <c r="B12" s="51">
        <v>11</v>
      </c>
    </row>
    <row r="13" spans="1:2" ht="12.75">
      <c r="A13" s="50" t="s">
        <v>386</v>
      </c>
      <c r="B13" s="51">
        <v>12</v>
      </c>
    </row>
    <row r="14" spans="1:2" ht="12.75">
      <c r="A14" s="50" t="s">
        <v>387</v>
      </c>
      <c r="B14" s="51">
        <v>13</v>
      </c>
    </row>
    <row r="15" spans="1:2" ht="12.75">
      <c r="A15" s="50"/>
      <c r="B15" s="51">
        <v>14</v>
      </c>
    </row>
    <row r="16" spans="1:2" ht="12.75">
      <c r="A16" s="50" t="s">
        <v>413</v>
      </c>
      <c r="B16" s="51">
        <v>15</v>
      </c>
    </row>
    <row r="17" spans="1:2" ht="12.75">
      <c r="A17" s="50"/>
      <c r="B17" s="51">
        <v>16</v>
      </c>
    </row>
    <row r="18" spans="1:2" ht="12.75">
      <c r="A18" s="50"/>
      <c r="B18" s="51">
        <v>17</v>
      </c>
    </row>
    <row r="19" spans="1:2" ht="12.75">
      <c r="A19" s="50" t="s">
        <v>411</v>
      </c>
      <c r="B19" s="51">
        <v>18</v>
      </c>
    </row>
    <row r="20" spans="1:2" ht="12.75">
      <c r="A20" s="50" t="s">
        <v>789</v>
      </c>
      <c r="B20" s="51">
        <v>19</v>
      </c>
    </row>
    <row r="21" spans="1:2" ht="12.75">
      <c r="A21" s="50" t="s">
        <v>791</v>
      </c>
      <c r="B21" s="51">
        <v>20</v>
      </c>
    </row>
    <row r="22" spans="1:2" ht="12.75">
      <c r="A22" s="50" t="s">
        <v>792</v>
      </c>
      <c r="B22" s="51">
        <v>21</v>
      </c>
    </row>
    <row r="23" ht="12.75">
      <c r="B23" s="51">
        <v>22</v>
      </c>
    </row>
    <row r="24" spans="1:2" ht="12.75">
      <c r="A24" s="50" t="s">
        <v>213</v>
      </c>
      <c r="B24" s="51">
        <v>23</v>
      </c>
    </row>
    <row r="25" spans="1:2" ht="12.75">
      <c r="A25" s="50" t="s">
        <v>793</v>
      </c>
      <c r="B25" s="51">
        <v>24</v>
      </c>
    </row>
    <row r="26" spans="1:2" ht="12.75">
      <c r="A26" s="50" t="s">
        <v>794</v>
      </c>
      <c r="B26" s="51">
        <v>25</v>
      </c>
    </row>
    <row r="27" spans="1:2" ht="12.75">
      <c r="A27" s="50" t="s">
        <v>795</v>
      </c>
      <c r="B27" s="51">
        <v>26</v>
      </c>
    </row>
    <row r="28" spans="1:2" ht="12.75">
      <c r="A28" s="50" t="s">
        <v>796</v>
      </c>
      <c r="B28" s="51">
        <v>27</v>
      </c>
    </row>
    <row r="29" spans="1:2" ht="12.75">
      <c r="A29" s="50" t="s">
        <v>937</v>
      </c>
      <c r="B29" s="51">
        <v>28</v>
      </c>
    </row>
    <row r="30" spans="1:2" ht="12.75">
      <c r="A30" s="50" t="s">
        <v>797</v>
      </c>
      <c r="B30" s="51">
        <v>29</v>
      </c>
    </row>
    <row r="31" spans="1:2" ht="12.75">
      <c r="A31" s="50" t="s">
        <v>798</v>
      </c>
      <c r="B31" s="51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9"/>
  <sheetViews>
    <sheetView zoomScalePageLayoutView="0" workbookViewId="0" topLeftCell="A1">
      <pane xSplit="2" ySplit="2" topLeftCell="C3" activePane="bottomRight" state="frozen"/>
      <selection pane="topLeft" activeCell="I259" sqref="I259"/>
      <selection pane="topRight" activeCell="I259" sqref="I259"/>
      <selection pane="bottomLeft" activeCell="I259" sqref="I259"/>
      <selection pane="bottomRight" activeCell="V24" sqref="V24"/>
    </sheetView>
  </sheetViews>
  <sheetFormatPr defaultColWidth="9.140625" defaultRowHeight="12.75"/>
  <cols>
    <col min="1" max="1" width="40.7109375" style="0" customWidth="1"/>
    <col min="2" max="2" width="10.7109375" style="0" customWidth="1"/>
    <col min="3" max="20" width="8.7109375" style="0" customWidth="1"/>
  </cols>
  <sheetData>
    <row r="1" spans="1:20" ht="18.75">
      <c r="A1" s="1" t="s">
        <v>834</v>
      </c>
      <c r="C1" s="282"/>
      <c r="F1" s="283"/>
      <c r="M1" s="282"/>
      <c r="Q1" s="283"/>
      <c r="R1" s="283"/>
      <c r="S1" s="283"/>
      <c r="T1" s="283"/>
    </row>
    <row r="2" spans="3:20" ht="12.75">
      <c r="C2" s="15" t="s">
        <v>535</v>
      </c>
      <c r="D2" s="15" t="s">
        <v>536</v>
      </c>
      <c r="E2" s="15" t="s">
        <v>537</v>
      </c>
      <c r="F2" s="15" t="s">
        <v>538</v>
      </c>
      <c r="G2" s="15" t="s">
        <v>539</v>
      </c>
      <c r="H2" s="15" t="s">
        <v>540</v>
      </c>
      <c r="I2" s="15" t="s">
        <v>541</v>
      </c>
      <c r="J2" s="15" t="s">
        <v>542</v>
      </c>
      <c r="K2" s="15" t="s">
        <v>543</v>
      </c>
      <c r="L2" s="15" t="s">
        <v>544</v>
      </c>
      <c r="M2" s="15" t="s">
        <v>545</v>
      </c>
      <c r="N2" s="15" t="s">
        <v>546</v>
      </c>
      <c r="O2" s="15" t="s">
        <v>547</v>
      </c>
      <c r="P2" s="15" t="s">
        <v>548</v>
      </c>
      <c r="Q2" s="15" t="s">
        <v>549</v>
      </c>
      <c r="R2" s="15" t="s">
        <v>550</v>
      </c>
      <c r="S2" s="15" t="s">
        <v>551</v>
      </c>
      <c r="T2" s="15" t="s">
        <v>552</v>
      </c>
    </row>
    <row r="4" spans="1:20" ht="18.75">
      <c r="A4" s="1" t="s">
        <v>441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5.75">
      <c r="A5" s="14" t="s">
        <v>442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ht="12.75">
      <c r="A6" s="112" t="s">
        <v>100</v>
      </c>
      <c r="B6" s="11"/>
      <c r="C6" s="197">
        <f aca="true" t="shared" si="0" ref="C6:T6">SUM(C$9:C$99,C$103:C$193)/1000000</f>
        <v>4.18463</v>
      </c>
      <c r="D6" s="197">
        <f t="shared" si="0"/>
        <v>4.22828</v>
      </c>
      <c r="E6" s="197">
        <f t="shared" si="0"/>
        <v>4.26866</v>
      </c>
      <c r="F6" s="197">
        <f t="shared" si="0"/>
        <v>4.3141</v>
      </c>
      <c r="G6" s="197">
        <f t="shared" si="0"/>
        <v>4.36371</v>
      </c>
      <c r="H6" s="197">
        <f t="shared" si="0"/>
        <v>4.40728</v>
      </c>
      <c r="I6" s="197">
        <f t="shared" si="0"/>
        <v>4.4499</v>
      </c>
      <c r="J6" s="197">
        <f t="shared" si="0"/>
        <v>4.49157</v>
      </c>
      <c r="K6" s="197">
        <f t="shared" si="0"/>
        <v>4.53239</v>
      </c>
      <c r="L6" s="197">
        <f t="shared" si="0"/>
        <v>4.57243</v>
      </c>
      <c r="M6" s="197">
        <f t="shared" si="0"/>
        <v>4.61175</v>
      </c>
      <c r="N6" s="197">
        <f t="shared" si="0"/>
        <v>4.65021</v>
      </c>
      <c r="O6" s="197">
        <f t="shared" si="0"/>
        <v>4.6882</v>
      </c>
      <c r="P6" s="197">
        <f t="shared" si="0"/>
        <v>4.72535</v>
      </c>
      <c r="Q6" s="197">
        <f t="shared" si="0"/>
        <v>4.76182</v>
      </c>
      <c r="R6" s="197">
        <f t="shared" si="0"/>
        <v>4.79744</v>
      </c>
      <c r="S6" s="197">
        <f t="shared" si="0"/>
        <v>4.83263</v>
      </c>
      <c r="T6" s="197">
        <f t="shared" si="0"/>
        <v>4.86685</v>
      </c>
    </row>
    <row r="7" spans="1:20" ht="12.75">
      <c r="A7" s="112"/>
      <c r="B7" s="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</row>
    <row r="8" spans="1:20" ht="12.75">
      <c r="A8" s="112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>
      <c r="A9" s="113" t="s">
        <v>6</v>
      </c>
      <c r="B9" s="11"/>
      <c r="C9" s="111">
        <v>30150</v>
      </c>
      <c r="D9" s="111">
        <v>31680</v>
      </c>
      <c r="E9" s="111">
        <v>32810</v>
      </c>
      <c r="F9" s="111">
        <v>32860</v>
      </c>
      <c r="G9" s="111">
        <v>32670</v>
      </c>
      <c r="H9" s="111">
        <v>32310</v>
      </c>
      <c r="I9" s="111">
        <v>31980</v>
      </c>
      <c r="J9" s="111">
        <v>31690</v>
      </c>
      <c r="K9" s="111">
        <v>31450</v>
      </c>
      <c r="L9" s="111">
        <v>31250</v>
      </c>
      <c r="M9" s="111">
        <v>31070</v>
      </c>
      <c r="N9" s="111">
        <v>30930</v>
      </c>
      <c r="O9" s="111">
        <v>30800</v>
      </c>
      <c r="P9" s="111">
        <v>30690</v>
      </c>
      <c r="Q9" s="111">
        <v>30570</v>
      </c>
      <c r="R9" s="111">
        <v>30470</v>
      </c>
      <c r="S9" s="111">
        <v>30370</v>
      </c>
      <c r="T9" s="111">
        <v>30280</v>
      </c>
    </row>
    <row r="10" spans="1:20" ht="12.75">
      <c r="A10" s="113" t="s">
        <v>7</v>
      </c>
      <c r="B10" s="11"/>
      <c r="C10" s="111">
        <v>29380</v>
      </c>
      <c r="D10" s="111">
        <v>30130</v>
      </c>
      <c r="E10" s="111">
        <v>31570</v>
      </c>
      <c r="F10" s="111">
        <v>33000</v>
      </c>
      <c r="G10" s="111">
        <v>32960</v>
      </c>
      <c r="H10" s="111">
        <v>32740</v>
      </c>
      <c r="I10" s="111">
        <v>32380</v>
      </c>
      <c r="J10" s="111">
        <v>32050</v>
      </c>
      <c r="K10" s="111">
        <v>31770</v>
      </c>
      <c r="L10" s="111">
        <v>31530</v>
      </c>
      <c r="M10" s="111">
        <v>31320</v>
      </c>
      <c r="N10" s="111">
        <v>31150</v>
      </c>
      <c r="O10" s="111">
        <v>31010</v>
      </c>
      <c r="P10" s="111">
        <v>30880</v>
      </c>
      <c r="Q10" s="111">
        <v>30760</v>
      </c>
      <c r="R10" s="111">
        <v>30650</v>
      </c>
      <c r="S10" s="111">
        <v>30550</v>
      </c>
      <c r="T10" s="111">
        <v>30450</v>
      </c>
    </row>
    <row r="11" spans="1:20" ht="12.75">
      <c r="A11" s="113" t="s">
        <v>8</v>
      </c>
      <c r="B11" s="11"/>
      <c r="C11" s="111">
        <v>29510</v>
      </c>
      <c r="D11" s="111">
        <v>29470</v>
      </c>
      <c r="E11" s="111">
        <v>30140</v>
      </c>
      <c r="F11" s="111">
        <v>31670</v>
      </c>
      <c r="G11" s="111">
        <v>33130</v>
      </c>
      <c r="H11" s="111">
        <v>33060</v>
      </c>
      <c r="I11" s="111">
        <v>32840</v>
      </c>
      <c r="J11" s="111">
        <v>32490</v>
      </c>
      <c r="K11" s="111">
        <v>32150</v>
      </c>
      <c r="L11" s="111">
        <v>31870</v>
      </c>
      <c r="M11" s="111">
        <v>31630</v>
      </c>
      <c r="N11" s="111">
        <v>31420</v>
      </c>
      <c r="O11" s="111">
        <v>31250</v>
      </c>
      <c r="P11" s="111">
        <v>31110</v>
      </c>
      <c r="Q11" s="111">
        <v>30980</v>
      </c>
      <c r="R11" s="111">
        <v>30870</v>
      </c>
      <c r="S11" s="111">
        <v>30750</v>
      </c>
      <c r="T11" s="111">
        <v>30650</v>
      </c>
    </row>
    <row r="12" spans="1:20" ht="12.75">
      <c r="A12" s="113" t="s">
        <v>9</v>
      </c>
      <c r="B12" s="11"/>
      <c r="C12" s="111">
        <v>28800</v>
      </c>
      <c r="D12" s="111">
        <v>29640</v>
      </c>
      <c r="E12" s="111">
        <v>29490</v>
      </c>
      <c r="F12" s="111">
        <v>30250</v>
      </c>
      <c r="G12" s="111">
        <v>31810</v>
      </c>
      <c r="H12" s="111">
        <v>33230</v>
      </c>
      <c r="I12" s="111">
        <v>33170</v>
      </c>
      <c r="J12" s="111">
        <v>32950</v>
      </c>
      <c r="K12" s="111">
        <v>32590</v>
      </c>
      <c r="L12" s="111">
        <v>32260</v>
      </c>
      <c r="M12" s="111">
        <v>31970</v>
      </c>
      <c r="N12" s="111">
        <v>31730</v>
      </c>
      <c r="O12" s="111">
        <v>31530</v>
      </c>
      <c r="P12" s="111">
        <v>31360</v>
      </c>
      <c r="Q12" s="111">
        <v>31210</v>
      </c>
      <c r="R12" s="111">
        <v>31090</v>
      </c>
      <c r="S12" s="111">
        <v>30970</v>
      </c>
      <c r="T12" s="111">
        <v>30860</v>
      </c>
    </row>
    <row r="13" spans="1:20" ht="12.75">
      <c r="A13" s="113" t="s">
        <v>10</v>
      </c>
      <c r="B13" s="11"/>
      <c r="C13" s="111">
        <v>28370</v>
      </c>
      <c r="D13" s="111">
        <v>28890</v>
      </c>
      <c r="E13" s="111">
        <v>29670</v>
      </c>
      <c r="F13" s="111">
        <v>29600</v>
      </c>
      <c r="G13" s="111">
        <v>30380</v>
      </c>
      <c r="H13" s="111">
        <v>31910</v>
      </c>
      <c r="I13" s="111">
        <v>33340</v>
      </c>
      <c r="J13" s="111">
        <v>33280</v>
      </c>
      <c r="K13" s="111">
        <v>33060</v>
      </c>
      <c r="L13" s="111">
        <v>32700</v>
      </c>
      <c r="M13" s="111">
        <v>32370</v>
      </c>
      <c r="N13" s="111">
        <v>32080</v>
      </c>
      <c r="O13" s="111">
        <v>31840</v>
      </c>
      <c r="P13" s="111">
        <v>31640</v>
      </c>
      <c r="Q13" s="111">
        <v>31470</v>
      </c>
      <c r="R13" s="111">
        <v>31320</v>
      </c>
      <c r="S13" s="111">
        <v>31200</v>
      </c>
      <c r="T13" s="111">
        <v>31080</v>
      </c>
    </row>
    <row r="14" spans="1:20" ht="12.75">
      <c r="A14" s="113" t="s">
        <v>11</v>
      </c>
      <c r="B14" s="11"/>
      <c r="C14" s="111">
        <v>29670</v>
      </c>
      <c r="D14" s="111">
        <v>28450</v>
      </c>
      <c r="E14" s="111">
        <v>28940</v>
      </c>
      <c r="F14" s="111">
        <v>29770</v>
      </c>
      <c r="G14" s="111">
        <v>29730</v>
      </c>
      <c r="H14" s="111">
        <v>30490</v>
      </c>
      <c r="I14" s="111">
        <v>32020</v>
      </c>
      <c r="J14" s="111">
        <v>33440</v>
      </c>
      <c r="K14" s="111">
        <v>33380</v>
      </c>
      <c r="L14" s="111">
        <v>33160</v>
      </c>
      <c r="M14" s="111">
        <v>32800</v>
      </c>
      <c r="N14" s="111">
        <v>32470</v>
      </c>
      <c r="O14" s="111">
        <v>32190</v>
      </c>
      <c r="P14" s="111">
        <v>31950</v>
      </c>
      <c r="Q14" s="111">
        <v>31740</v>
      </c>
      <c r="R14" s="111">
        <v>31570</v>
      </c>
      <c r="S14" s="111">
        <v>31430</v>
      </c>
      <c r="T14" s="111">
        <v>31300</v>
      </c>
    </row>
    <row r="15" spans="1:20" ht="12.75">
      <c r="A15" s="113" t="s">
        <v>12</v>
      </c>
      <c r="B15" s="11"/>
      <c r="C15" s="111">
        <v>30280</v>
      </c>
      <c r="D15" s="111">
        <v>29780</v>
      </c>
      <c r="E15" s="111">
        <v>28500</v>
      </c>
      <c r="F15" s="111">
        <v>29040</v>
      </c>
      <c r="G15" s="111">
        <v>29910</v>
      </c>
      <c r="H15" s="111">
        <v>29840</v>
      </c>
      <c r="I15" s="111">
        <v>30590</v>
      </c>
      <c r="J15" s="111">
        <v>32120</v>
      </c>
      <c r="K15" s="111">
        <v>33550</v>
      </c>
      <c r="L15" s="111">
        <v>33480</v>
      </c>
      <c r="M15" s="111">
        <v>33270</v>
      </c>
      <c r="N15" s="111">
        <v>32910</v>
      </c>
      <c r="O15" s="111">
        <v>32580</v>
      </c>
      <c r="P15" s="111">
        <v>32290</v>
      </c>
      <c r="Q15" s="111">
        <v>32050</v>
      </c>
      <c r="R15" s="111">
        <v>31850</v>
      </c>
      <c r="S15" s="111">
        <v>31680</v>
      </c>
      <c r="T15" s="111">
        <v>31530</v>
      </c>
    </row>
    <row r="16" spans="1:20" ht="12.75">
      <c r="A16" s="113" t="s">
        <v>13</v>
      </c>
      <c r="B16" s="11"/>
      <c r="C16" s="111">
        <v>29500</v>
      </c>
      <c r="D16" s="111">
        <v>30370</v>
      </c>
      <c r="E16" s="111">
        <v>29780</v>
      </c>
      <c r="F16" s="111">
        <v>28600</v>
      </c>
      <c r="G16" s="111">
        <v>29170</v>
      </c>
      <c r="H16" s="111">
        <v>30010</v>
      </c>
      <c r="I16" s="111">
        <v>29940</v>
      </c>
      <c r="J16" s="111">
        <v>30700</v>
      </c>
      <c r="K16" s="111">
        <v>32230</v>
      </c>
      <c r="L16" s="111">
        <v>33650</v>
      </c>
      <c r="M16" s="111">
        <v>33590</v>
      </c>
      <c r="N16" s="111">
        <v>33370</v>
      </c>
      <c r="O16" s="111">
        <v>33010</v>
      </c>
      <c r="P16" s="111">
        <v>32680</v>
      </c>
      <c r="Q16" s="111">
        <v>32400</v>
      </c>
      <c r="R16" s="111">
        <v>32150</v>
      </c>
      <c r="S16" s="111">
        <v>31950</v>
      </c>
      <c r="T16" s="111">
        <v>31780</v>
      </c>
    </row>
    <row r="17" spans="1:20" ht="12.75">
      <c r="A17" s="113" t="s">
        <v>14</v>
      </c>
      <c r="B17" s="11"/>
      <c r="C17" s="111">
        <v>29960</v>
      </c>
      <c r="D17" s="111">
        <v>29580</v>
      </c>
      <c r="E17" s="111">
        <v>30440</v>
      </c>
      <c r="F17" s="111">
        <v>29880</v>
      </c>
      <c r="G17" s="111">
        <v>28730</v>
      </c>
      <c r="H17" s="111">
        <v>29270</v>
      </c>
      <c r="I17" s="111">
        <v>30110</v>
      </c>
      <c r="J17" s="111">
        <v>30040</v>
      </c>
      <c r="K17" s="111">
        <v>30800</v>
      </c>
      <c r="L17" s="111">
        <v>32330</v>
      </c>
      <c r="M17" s="111">
        <v>33750</v>
      </c>
      <c r="N17" s="111">
        <v>33690</v>
      </c>
      <c r="O17" s="111">
        <v>33470</v>
      </c>
      <c r="P17" s="111">
        <v>33110</v>
      </c>
      <c r="Q17" s="111">
        <v>32780</v>
      </c>
      <c r="R17" s="111">
        <v>32500</v>
      </c>
      <c r="S17" s="111">
        <v>32260</v>
      </c>
      <c r="T17" s="111">
        <v>32050</v>
      </c>
    </row>
    <row r="18" spans="1:20" ht="12.75">
      <c r="A18" s="113" t="s">
        <v>15</v>
      </c>
      <c r="B18" s="11"/>
      <c r="C18" s="111">
        <v>29820</v>
      </c>
      <c r="D18" s="111">
        <v>30050</v>
      </c>
      <c r="E18" s="111">
        <v>29620</v>
      </c>
      <c r="F18" s="111">
        <v>30550</v>
      </c>
      <c r="G18" s="111">
        <v>30010</v>
      </c>
      <c r="H18" s="111">
        <v>28840</v>
      </c>
      <c r="I18" s="111">
        <v>29370</v>
      </c>
      <c r="J18" s="111">
        <v>30210</v>
      </c>
      <c r="K18" s="111">
        <v>30150</v>
      </c>
      <c r="L18" s="111">
        <v>30900</v>
      </c>
      <c r="M18" s="111">
        <v>32430</v>
      </c>
      <c r="N18" s="111">
        <v>33860</v>
      </c>
      <c r="O18" s="111">
        <v>33790</v>
      </c>
      <c r="P18" s="111">
        <v>33570</v>
      </c>
      <c r="Q18" s="111">
        <v>33220</v>
      </c>
      <c r="R18" s="111">
        <v>32880</v>
      </c>
      <c r="S18" s="111">
        <v>32600</v>
      </c>
      <c r="T18" s="111">
        <v>32360</v>
      </c>
    </row>
    <row r="19" spans="1:20" ht="12.75">
      <c r="A19" s="113" t="s">
        <v>16</v>
      </c>
      <c r="B19" s="11"/>
      <c r="C19" s="111">
        <v>31100</v>
      </c>
      <c r="D19" s="111">
        <v>29950</v>
      </c>
      <c r="E19" s="111">
        <v>30030</v>
      </c>
      <c r="F19" s="111">
        <v>29730</v>
      </c>
      <c r="G19" s="111">
        <v>30680</v>
      </c>
      <c r="H19" s="111">
        <v>30110</v>
      </c>
      <c r="I19" s="111">
        <v>28940</v>
      </c>
      <c r="J19" s="111">
        <v>29480</v>
      </c>
      <c r="K19" s="111">
        <v>30320</v>
      </c>
      <c r="L19" s="111">
        <v>30250</v>
      </c>
      <c r="M19" s="111">
        <v>31010</v>
      </c>
      <c r="N19" s="111">
        <v>32540</v>
      </c>
      <c r="O19" s="111">
        <v>33960</v>
      </c>
      <c r="P19" s="111">
        <v>33900</v>
      </c>
      <c r="Q19" s="111">
        <v>33680</v>
      </c>
      <c r="R19" s="111">
        <v>33320</v>
      </c>
      <c r="S19" s="111">
        <v>32990</v>
      </c>
      <c r="T19" s="111">
        <v>32710</v>
      </c>
    </row>
    <row r="20" spans="1:20" ht="12.75">
      <c r="A20" s="113" t="s">
        <v>17</v>
      </c>
      <c r="B20" s="11"/>
      <c r="C20" s="111">
        <v>31570</v>
      </c>
      <c r="D20" s="111">
        <v>31190</v>
      </c>
      <c r="E20" s="111">
        <v>30000</v>
      </c>
      <c r="F20" s="111">
        <v>30130</v>
      </c>
      <c r="G20" s="111">
        <v>29860</v>
      </c>
      <c r="H20" s="111">
        <v>30780</v>
      </c>
      <c r="I20" s="111">
        <v>30220</v>
      </c>
      <c r="J20" s="111">
        <v>29050</v>
      </c>
      <c r="K20" s="111">
        <v>29590</v>
      </c>
      <c r="L20" s="111">
        <v>30420</v>
      </c>
      <c r="M20" s="111">
        <v>30360</v>
      </c>
      <c r="N20" s="111">
        <v>31110</v>
      </c>
      <c r="O20" s="111">
        <v>32640</v>
      </c>
      <c r="P20" s="111">
        <v>34070</v>
      </c>
      <c r="Q20" s="111">
        <v>34000</v>
      </c>
      <c r="R20" s="111">
        <v>33780</v>
      </c>
      <c r="S20" s="111">
        <v>33430</v>
      </c>
      <c r="T20" s="111">
        <v>33100</v>
      </c>
    </row>
    <row r="21" spans="1:20" ht="12.75">
      <c r="A21" s="113" t="s">
        <v>18</v>
      </c>
      <c r="B21" s="11"/>
      <c r="C21" s="111">
        <v>31640</v>
      </c>
      <c r="D21" s="111">
        <v>31650</v>
      </c>
      <c r="E21" s="111">
        <v>31210</v>
      </c>
      <c r="F21" s="111">
        <v>30100</v>
      </c>
      <c r="G21" s="111">
        <v>30260</v>
      </c>
      <c r="H21" s="111">
        <v>29960</v>
      </c>
      <c r="I21" s="111">
        <v>30890</v>
      </c>
      <c r="J21" s="111">
        <v>30320</v>
      </c>
      <c r="K21" s="111">
        <v>29150</v>
      </c>
      <c r="L21" s="111">
        <v>29690</v>
      </c>
      <c r="M21" s="111">
        <v>30530</v>
      </c>
      <c r="N21" s="111">
        <v>30460</v>
      </c>
      <c r="O21" s="111">
        <v>31220</v>
      </c>
      <c r="P21" s="111">
        <v>32750</v>
      </c>
      <c r="Q21" s="111">
        <v>34170</v>
      </c>
      <c r="R21" s="111">
        <v>34110</v>
      </c>
      <c r="S21" s="111">
        <v>33890</v>
      </c>
      <c r="T21" s="111">
        <v>33530</v>
      </c>
    </row>
    <row r="22" spans="1:20" ht="12.75">
      <c r="A22" s="113" t="s">
        <v>19</v>
      </c>
      <c r="B22" s="11"/>
      <c r="C22" s="111">
        <v>32400</v>
      </c>
      <c r="D22" s="111">
        <v>31740</v>
      </c>
      <c r="E22" s="111">
        <v>31670</v>
      </c>
      <c r="F22" s="111">
        <v>31310</v>
      </c>
      <c r="G22" s="111">
        <v>30230</v>
      </c>
      <c r="H22" s="111">
        <v>30370</v>
      </c>
      <c r="I22" s="111">
        <v>30070</v>
      </c>
      <c r="J22" s="111">
        <v>30990</v>
      </c>
      <c r="K22" s="111">
        <v>30430</v>
      </c>
      <c r="L22" s="111">
        <v>29260</v>
      </c>
      <c r="M22" s="111">
        <v>29800</v>
      </c>
      <c r="N22" s="111">
        <v>30630</v>
      </c>
      <c r="O22" s="111">
        <v>30570</v>
      </c>
      <c r="P22" s="111">
        <v>31320</v>
      </c>
      <c r="Q22" s="111">
        <v>32850</v>
      </c>
      <c r="R22" s="111">
        <v>34280</v>
      </c>
      <c r="S22" s="111">
        <v>34210</v>
      </c>
      <c r="T22" s="111">
        <v>33990</v>
      </c>
    </row>
    <row r="23" spans="1:20" ht="12.75">
      <c r="A23" s="113" t="s">
        <v>20</v>
      </c>
      <c r="B23" s="11"/>
      <c r="C23" s="111">
        <v>32800</v>
      </c>
      <c r="D23" s="111">
        <v>32500</v>
      </c>
      <c r="E23" s="111">
        <v>31790</v>
      </c>
      <c r="F23" s="111">
        <v>31790</v>
      </c>
      <c r="G23" s="111">
        <v>31450</v>
      </c>
      <c r="H23" s="111">
        <v>30350</v>
      </c>
      <c r="I23" s="111">
        <v>30490</v>
      </c>
      <c r="J23" s="111">
        <v>30190</v>
      </c>
      <c r="K23" s="111">
        <v>31110</v>
      </c>
      <c r="L23" s="111">
        <v>30550</v>
      </c>
      <c r="M23" s="111">
        <v>29380</v>
      </c>
      <c r="N23" s="111">
        <v>29920</v>
      </c>
      <c r="O23" s="111">
        <v>30750</v>
      </c>
      <c r="P23" s="111">
        <v>30690</v>
      </c>
      <c r="Q23" s="111">
        <v>31440</v>
      </c>
      <c r="R23" s="111">
        <v>32970</v>
      </c>
      <c r="S23" s="111">
        <v>34400</v>
      </c>
      <c r="T23" s="111">
        <v>34330</v>
      </c>
    </row>
    <row r="24" spans="1:20" ht="12.75">
      <c r="A24" s="113" t="s">
        <v>21</v>
      </c>
      <c r="B24" s="11"/>
      <c r="C24" s="111">
        <v>33590</v>
      </c>
      <c r="D24" s="111">
        <v>32930</v>
      </c>
      <c r="E24" s="111">
        <v>32550</v>
      </c>
      <c r="F24" s="111">
        <v>31940</v>
      </c>
      <c r="G24" s="111">
        <v>31960</v>
      </c>
      <c r="H24" s="111">
        <v>31600</v>
      </c>
      <c r="I24" s="111">
        <v>30500</v>
      </c>
      <c r="J24" s="111">
        <v>30640</v>
      </c>
      <c r="K24" s="111">
        <v>30340</v>
      </c>
      <c r="L24" s="111">
        <v>31260</v>
      </c>
      <c r="M24" s="111">
        <v>30700</v>
      </c>
      <c r="N24" s="111">
        <v>29530</v>
      </c>
      <c r="O24" s="111">
        <v>30070</v>
      </c>
      <c r="P24" s="111">
        <v>30900</v>
      </c>
      <c r="Q24" s="111">
        <v>30840</v>
      </c>
      <c r="R24" s="111">
        <v>31590</v>
      </c>
      <c r="S24" s="111">
        <v>33120</v>
      </c>
      <c r="T24" s="111">
        <v>34550</v>
      </c>
    </row>
    <row r="25" spans="1:20" ht="12.75">
      <c r="A25" s="113" t="s">
        <v>22</v>
      </c>
      <c r="B25" s="11"/>
      <c r="C25" s="111">
        <v>32610</v>
      </c>
      <c r="D25" s="111">
        <v>33750</v>
      </c>
      <c r="E25" s="111">
        <v>33040</v>
      </c>
      <c r="F25" s="111">
        <v>32740</v>
      </c>
      <c r="G25" s="111">
        <v>32150</v>
      </c>
      <c r="H25" s="111">
        <v>32140</v>
      </c>
      <c r="I25" s="111">
        <v>31790</v>
      </c>
      <c r="J25" s="111">
        <v>30690</v>
      </c>
      <c r="K25" s="111">
        <v>30820</v>
      </c>
      <c r="L25" s="111">
        <v>30530</v>
      </c>
      <c r="M25" s="111">
        <v>31450</v>
      </c>
      <c r="N25" s="111">
        <v>30890</v>
      </c>
      <c r="O25" s="111">
        <v>29720</v>
      </c>
      <c r="P25" s="111">
        <v>30260</v>
      </c>
      <c r="Q25" s="111">
        <v>31090</v>
      </c>
      <c r="R25" s="111">
        <v>31030</v>
      </c>
      <c r="S25" s="111">
        <v>31780</v>
      </c>
      <c r="T25" s="111">
        <v>33310</v>
      </c>
    </row>
    <row r="26" spans="1:20" ht="12.75">
      <c r="A26" s="113" t="s">
        <v>23</v>
      </c>
      <c r="B26" s="11"/>
      <c r="C26" s="111">
        <v>31820</v>
      </c>
      <c r="D26" s="111">
        <v>32790</v>
      </c>
      <c r="E26" s="111">
        <v>33970</v>
      </c>
      <c r="F26" s="111">
        <v>33250</v>
      </c>
      <c r="G26" s="111">
        <v>32980</v>
      </c>
      <c r="H26" s="111">
        <v>32360</v>
      </c>
      <c r="I26" s="111">
        <v>32350</v>
      </c>
      <c r="J26" s="111">
        <v>32000</v>
      </c>
      <c r="K26" s="111">
        <v>30900</v>
      </c>
      <c r="L26" s="111">
        <v>31040</v>
      </c>
      <c r="M26" s="111">
        <v>30740</v>
      </c>
      <c r="N26" s="111">
        <v>31660</v>
      </c>
      <c r="O26" s="111">
        <v>31100</v>
      </c>
      <c r="P26" s="111">
        <v>29930</v>
      </c>
      <c r="Q26" s="111">
        <v>30470</v>
      </c>
      <c r="R26" s="111">
        <v>31310</v>
      </c>
      <c r="S26" s="111">
        <v>31240</v>
      </c>
      <c r="T26" s="111">
        <v>32000</v>
      </c>
    </row>
    <row r="27" spans="1:20" ht="12.75">
      <c r="A27" s="113" t="s">
        <v>24</v>
      </c>
      <c r="B27" s="11"/>
      <c r="C27" s="111">
        <v>31140</v>
      </c>
      <c r="D27" s="111">
        <v>31930</v>
      </c>
      <c r="E27" s="111">
        <v>32910</v>
      </c>
      <c r="F27" s="111">
        <v>34190</v>
      </c>
      <c r="G27" s="111">
        <v>33500</v>
      </c>
      <c r="H27" s="111">
        <v>33200</v>
      </c>
      <c r="I27" s="111">
        <v>32580</v>
      </c>
      <c r="J27" s="111">
        <v>32570</v>
      </c>
      <c r="K27" s="111">
        <v>32220</v>
      </c>
      <c r="L27" s="111">
        <v>31120</v>
      </c>
      <c r="M27" s="111">
        <v>31260</v>
      </c>
      <c r="N27" s="111">
        <v>30960</v>
      </c>
      <c r="O27" s="111">
        <v>31890</v>
      </c>
      <c r="P27" s="111">
        <v>31320</v>
      </c>
      <c r="Q27" s="111">
        <v>30160</v>
      </c>
      <c r="R27" s="111">
        <v>30690</v>
      </c>
      <c r="S27" s="111">
        <v>31530</v>
      </c>
      <c r="T27" s="111">
        <v>31470</v>
      </c>
    </row>
    <row r="28" spans="1:20" ht="12.75">
      <c r="A28" s="113" t="s">
        <v>25</v>
      </c>
      <c r="B28" s="11"/>
      <c r="C28" s="111">
        <v>30250</v>
      </c>
      <c r="D28" s="111">
        <v>31320</v>
      </c>
      <c r="E28" s="111">
        <v>32230</v>
      </c>
      <c r="F28" s="111">
        <v>33120</v>
      </c>
      <c r="G28" s="111">
        <v>34450</v>
      </c>
      <c r="H28" s="111">
        <v>33710</v>
      </c>
      <c r="I28" s="111">
        <v>33410</v>
      </c>
      <c r="J28" s="111">
        <v>32790</v>
      </c>
      <c r="K28" s="111">
        <v>32780</v>
      </c>
      <c r="L28" s="111">
        <v>32430</v>
      </c>
      <c r="M28" s="111">
        <v>31340</v>
      </c>
      <c r="N28" s="111">
        <v>31470</v>
      </c>
      <c r="O28" s="111">
        <v>31180</v>
      </c>
      <c r="P28" s="111">
        <v>32100</v>
      </c>
      <c r="Q28" s="111">
        <v>31540</v>
      </c>
      <c r="R28" s="111">
        <v>30370</v>
      </c>
      <c r="S28" s="111">
        <v>30910</v>
      </c>
      <c r="T28" s="111">
        <v>31750</v>
      </c>
    </row>
    <row r="29" spans="1:20" ht="12.75">
      <c r="A29" s="113" t="s">
        <v>26</v>
      </c>
      <c r="B29" s="11"/>
      <c r="C29" s="111">
        <v>29830</v>
      </c>
      <c r="D29" s="111">
        <v>30430</v>
      </c>
      <c r="E29" s="111">
        <v>31640</v>
      </c>
      <c r="F29" s="111">
        <v>32360</v>
      </c>
      <c r="G29" s="111">
        <v>33360</v>
      </c>
      <c r="H29" s="111">
        <v>34580</v>
      </c>
      <c r="I29" s="111">
        <v>33850</v>
      </c>
      <c r="J29" s="111">
        <v>33550</v>
      </c>
      <c r="K29" s="111">
        <v>32930</v>
      </c>
      <c r="L29" s="111">
        <v>32920</v>
      </c>
      <c r="M29" s="111">
        <v>32570</v>
      </c>
      <c r="N29" s="111">
        <v>31480</v>
      </c>
      <c r="O29" s="111">
        <v>31610</v>
      </c>
      <c r="P29" s="111">
        <v>31320</v>
      </c>
      <c r="Q29" s="111">
        <v>32240</v>
      </c>
      <c r="R29" s="111">
        <v>31680</v>
      </c>
      <c r="S29" s="111">
        <v>30520</v>
      </c>
      <c r="T29" s="111">
        <v>31050</v>
      </c>
    </row>
    <row r="30" spans="1:20" ht="12.75">
      <c r="A30" s="113" t="s">
        <v>27</v>
      </c>
      <c r="B30" s="11"/>
      <c r="C30" s="111">
        <v>29560</v>
      </c>
      <c r="D30" s="111">
        <v>29780</v>
      </c>
      <c r="E30" s="111">
        <v>30490</v>
      </c>
      <c r="F30" s="111">
        <v>31540</v>
      </c>
      <c r="G30" s="111">
        <v>32370</v>
      </c>
      <c r="H30" s="111">
        <v>33260</v>
      </c>
      <c r="I30" s="111">
        <v>34480</v>
      </c>
      <c r="J30" s="111">
        <v>33750</v>
      </c>
      <c r="K30" s="111">
        <v>33450</v>
      </c>
      <c r="L30" s="111">
        <v>32830</v>
      </c>
      <c r="M30" s="111">
        <v>32830</v>
      </c>
      <c r="N30" s="111">
        <v>32470</v>
      </c>
      <c r="O30" s="111">
        <v>31380</v>
      </c>
      <c r="P30" s="111">
        <v>31520</v>
      </c>
      <c r="Q30" s="111">
        <v>31220</v>
      </c>
      <c r="R30" s="111">
        <v>32150</v>
      </c>
      <c r="S30" s="111">
        <v>31590</v>
      </c>
      <c r="T30" s="111">
        <v>30420</v>
      </c>
    </row>
    <row r="31" spans="1:20" ht="12.75">
      <c r="A31" s="113" t="s">
        <v>28</v>
      </c>
      <c r="B31" s="11"/>
      <c r="C31" s="111">
        <v>29400</v>
      </c>
      <c r="D31" s="111">
        <v>29250</v>
      </c>
      <c r="E31" s="111">
        <v>29710</v>
      </c>
      <c r="F31" s="111">
        <v>30130</v>
      </c>
      <c r="G31" s="111">
        <v>31250</v>
      </c>
      <c r="H31" s="111">
        <v>32010</v>
      </c>
      <c r="I31" s="111">
        <v>32900</v>
      </c>
      <c r="J31" s="111">
        <v>34120</v>
      </c>
      <c r="K31" s="111">
        <v>33390</v>
      </c>
      <c r="L31" s="111">
        <v>33090</v>
      </c>
      <c r="M31" s="111">
        <v>32480</v>
      </c>
      <c r="N31" s="111">
        <v>32470</v>
      </c>
      <c r="O31" s="111">
        <v>32120</v>
      </c>
      <c r="P31" s="111">
        <v>31030</v>
      </c>
      <c r="Q31" s="111">
        <v>31170</v>
      </c>
      <c r="R31" s="111">
        <v>30870</v>
      </c>
      <c r="S31" s="111">
        <v>31800</v>
      </c>
      <c r="T31" s="111">
        <v>31230</v>
      </c>
    </row>
    <row r="32" spans="1:20" ht="12.75">
      <c r="A32" s="113" t="s">
        <v>29</v>
      </c>
      <c r="B32" s="11"/>
      <c r="C32" s="111">
        <v>29090</v>
      </c>
      <c r="D32" s="111">
        <v>29020</v>
      </c>
      <c r="E32" s="111">
        <v>29140</v>
      </c>
      <c r="F32" s="111">
        <v>29270</v>
      </c>
      <c r="G32" s="111">
        <v>29780</v>
      </c>
      <c r="H32" s="111">
        <v>30810</v>
      </c>
      <c r="I32" s="111">
        <v>31580</v>
      </c>
      <c r="J32" s="111">
        <v>32470</v>
      </c>
      <c r="K32" s="111">
        <v>33690</v>
      </c>
      <c r="L32" s="111">
        <v>32960</v>
      </c>
      <c r="M32" s="111">
        <v>32660</v>
      </c>
      <c r="N32" s="111">
        <v>32040</v>
      </c>
      <c r="O32" s="111">
        <v>32040</v>
      </c>
      <c r="P32" s="111">
        <v>31690</v>
      </c>
      <c r="Q32" s="111">
        <v>30600</v>
      </c>
      <c r="R32" s="111">
        <v>30740</v>
      </c>
      <c r="S32" s="111">
        <v>30440</v>
      </c>
      <c r="T32" s="111">
        <v>31360</v>
      </c>
    </row>
    <row r="33" spans="1:20" ht="12.75">
      <c r="A33" s="113" t="s">
        <v>30</v>
      </c>
      <c r="B33" s="11"/>
      <c r="C33" s="111">
        <v>27970</v>
      </c>
      <c r="D33" s="111">
        <v>28790</v>
      </c>
      <c r="E33" s="111">
        <v>28830</v>
      </c>
      <c r="F33" s="111">
        <v>28740</v>
      </c>
      <c r="G33" s="111">
        <v>28970</v>
      </c>
      <c r="H33" s="111">
        <v>29370</v>
      </c>
      <c r="I33" s="111">
        <v>30410</v>
      </c>
      <c r="J33" s="111">
        <v>31170</v>
      </c>
      <c r="K33" s="111">
        <v>32060</v>
      </c>
      <c r="L33" s="111">
        <v>33280</v>
      </c>
      <c r="M33" s="111">
        <v>32550</v>
      </c>
      <c r="N33" s="111">
        <v>32250</v>
      </c>
      <c r="O33" s="111">
        <v>31640</v>
      </c>
      <c r="P33" s="111">
        <v>31640</v>
      </c>
      <c r="Q33" s="111">
        <v>31290</v>
      </c>
      <c r="R33" s="111">
        <v>30200</v>
      </c>
      <c r="S33" s="111">
        <v>30340</v>
      </c>
      <c r="T33" s="111">
        <v>30040</v>
      </c>
    </row>
    <row r="34" spans="1:20" ht="12.75">
      <c r="A34" s="113" t="s">
        <v>31</v>
      </c>
      <c r="B34" s="11"/>
      <c r="C34" s="111">
        <v>26850</v>
      </c>
      <c r="D34" s="111">
        <v>27710</v>
      </c>
      <c r="E34" s="111">
        <v>28610</v>
      </c>
      <c r="F34" s="111">
        <v>28510</v>
      </c>
      <c r="G34" s="111">
        <v>28530</v>
      </c>
      <c r="H34" s="111">
        <v>28650</v>
      </c>
      <c r="I34" s="111">
        <v>29050</v>
      </c>
      <c r="J34" s="111">
        <v>30090</v>
      </c>
      <c r="K34" s="111">
        <v>30850</v>
      </c>
      <c r="L34" s="111">
        <v>31740</v>
      </c>
      <c r="M34" s="111">
        <v>32960</v>
      </c>
      <c r="N34" s="111">
        <v>32230</v>
      </c>
      <c r="O34" s="111">
        <v>31940</v>
      </c>
      <c r="P34" s="111">
        <v>31320</v>
      </c>
      <c r="Q34" s="111">
        <v>31320</v>
      </c>
      <c r="R34" s="111">
        <v>30970</v>
      </c>
      <c r="S34" s="111">
        <v>29880</v>
      </c>
      <c r="T34" s="111">
        <v>30020</v>
      </c>
    </row>
    <row r="35" spans="1:20" ht="12.75">
      <c r="A35" s="113" t="s">
        <v>32</v>
      </c>
      <c r="B35" s="11"/>
      <c r="C35" s="111">
        <v>25810</v>
      </c>
      <c r="D35" s="111">
        <v>26740</v>
      </c>
      <c r="E35" s="111">
        <v>27500</v>
      </c>
      <c r="F35" s="111">
        <v>28400</v>
      </c>
      <c r="G35" s="111">
        <v>28420</v>
      </c>
      <c r="H35" s="111">
        <v>28330</v>
      </c>
      <c r="I35" s="111">
        <v>28440</v>
      </c>
      <c r="J35" s="111">
        <v>28850</v>
      </c>
      <c r="K35" s="111">
        <v>29890</v>
      </c>
      <c r="L35" s="111">
        <v>30650</v>
      </c>
      <c r="M35" s="111">
        <v>31540</v>
      </c>
      <c r="N35" s="111">
        <v>32760</v>
      </c>
      <c r="O35" s="111">
        <v>32030</v>
      </c>
      <c r="P35" s="111">
        <v>31730</v>
      </c>
      <c r="Q35" s="111">
        <v>31120</v>
      </c>
      <c r="R35" s="111">
        <v>31120</v>
      </c>
      <c r="S35" s="111">
        <v>30770</v>
      </c>
      <c r="T35" s="111">
        <v>29680</v>
      </c>
    </row>
    <row r="36" spans="1:20" ht="12.75">
      <c r="A36" s="113" t="s">
        <v>33</v>
      </c>
      <c r="B36" s="11"/>
      <c r="C36" s="111">
        <v>24950</v>
      </c>
      <c r="D36" s="111">
        <v>25770</v>
      </c>
      <c r="E36" s="111">
        <v>26660</v>
      </c>
      <c r="F36" s="111">
        <v>27470</v>
      </c>
      <c r="G36" s="111">
        <v>28470</v>
      </c>
      <c r="H36" s="111">
        <v>28380</v>
      </c>
      <c r="I36" s="111">
        <v>28300</v>
      </c>
      <c r="J36" s="111">
        <v>28410</v>
      </c>
      <c r="K36" s="111">
        <v>28820</v>
      </c>
      <c r="L36" s="111">
        <v>29850</v>
      </c>
      <c r="M36" s="111">
        <v>30620</v>
      </c>
      <c r="N36" s="111">
        <v>31500</v>
      </c>
      <c r="O36" s="111">
        <v>32720</v>
      </c>
      <c r="P36" s="111">
        <v>32000</v>
      </c>
      <c r="Q36" s="111">
        <v>31700</v>
      </c>
      <c r="R36" s="111">
        <v>31090</v>
      </c>
      <c r="S36" s="111">
        <v>31090</v>
      </c>
      <c r="T36" s="111">
        <v>30740</v>
      </c>
    </row>
    <row r="37" spans="1:20" ht="12.75">
      <c r="A37" s="113" t="s">
        <v>34</v>
      </c>
      <c r="B37" s="11"/>
      <c r="C37" s="111">
        <v>24310</v>
      </c>
      <c r="D37" s="111">
        <v>25140</v>
      </c>
      <c r="E37" s="111">
        <v>25880</v>
      </c>
      <c r="F37" s="111">
        <v>26830</v>
      </c>
      <c r="G37" s="111">
        <v>27710</v>
      </c>
      <c r="H37" s="111">
        <v>28640</v>
      </c>
      <c r="I37" s="111">
        <v>28560</v>
      </c>
      <c r="J37" s="111">
        <v>28470</v>
      </c>
      <c r="K37" s="111">
        <v>28590</v>
      </c>
      <c r="L37" s="111">
        <v>28990</v>
      </c>
      <c r="M37" s="111">
        <v>30030</v>
      </c>
      <c r="N37" s="111">
        <v>30790</v>
      </c>
      <c r="O37" s="111">
        <v>31680</v>
      </c>
      <c r="P37" s="111">
        <v>32900</v>
      </c>
      <c r="Q37" s="111">
        <v>32170</v>
      </c>
      <c r="R37" s="111">
        <v>31870</v>
      </c>
      <c r="S37" s="111">
        <v>31260</v>
      </c>
      <c r="T37" s="111">
        <v>31260</v>
      </c>
    </row>
    <row r="38" spans="1:20" ht="12.75">
      <c r="A38" s="113" t="s">
        <v>35</v>
      </c>
      <c r="B38" s="11"/>
      <c r="C38" s="111">
        <v>24860</v>
      </c>
      <c r="D38" s="111">
        <v>24640</v>
      </c>
      <c r="E38" s="111">
        <v>25360</v>
      </c>
      <c r="F38" s="111">
        <v>26160</v>
      </c>
      <c r="G38" s="111">
        <v>27180</v>
      </c>
      <c r="H38" s="111">
        <v>28000</v>
      </c>
      <c r="I38" s="111">
        <v>28930</v>
      </c>
      <c r="J38" s="111">
        <v>28840</v>
      </c>
      <c r="K38" s="111">
        <v>28760</v>
      </c>
      <c r="L38" s="111">
        <v>28870</v>
      </c>
      <c r="M38" s="111">
        <v>29280</v>
      </c>
      <c r="N38" s="111">
        <v>30310</v>
      </c>
      <c r="O38" s="111">
        <v>31080</v>
      </c>
      <c r="P38" s="111">
        <v>31960</v>
      </c>
      <c r="Q38" s="111">
        <v>33180</v>
      </c>
      <c r="R38" s="111">
        <v>32460</v>
      </c>
      <c r="S38" s="111">
        <v>32160</v>
      </c>
      <c r="T38" s="111">
        <v>31550</v>
      </c>
    </row>
    <row r="39" spans="1:20" ht="12.75">
      <c r="A39" s="113" t="s">
        <v>36</v>
      </c>
      <c r="B39" s="11"/>
      <c r="C39" s="111">
        <v>25180</v>
      </c>
      <c r="D39" s="111">
        <v>25130</v>
      </c>
      <c r="E39" s="111">
        <v>24930</v>
      </c>
      <c r="F39" s="111">
        <v>25650</v>
      </c>
      <c r="G39" s="111">
        <v>26520</v>
      </c>
      <c r="H39" s="111">
        <v>27470</v>
      </c>
      <c r="I39" s="111">
        <v>28290</v>
      </c>
      <c r="J39" s="111">
        <v>29220</v>
      </c>
      <c r="K39" s="111">
        <v>29140</v>
      </c>
      <c r="L39" s="111">
        <v>29050</v>
      </c>
      <c r="M39" s="111">
        <v>29170</v>
      </c>
      <c r="N39" s="111">
        <v>29570</v>
      </c>
      <c r="O39" s="111">
        <v>30610</v>
      </c>
      <c r="P39" s="111">
        <v>31370</v>
      </c>
      <c r="Q39" s="111">
        <v>32260</v>
      </c>
      <c r="R39" s="111">
        <v>33470</v>
      </c>
      <c r="S39" s="111">
        <v>32750</v>
      </c>
      <c r="T39" s="111">
        <v>32460</v>
      </c>
    </row>
    <row r="40" spans="1:20" ht="12.75">
      <c r="A40" s="113" t="s">
        <v>37</v>
      </c>
      <c r="B40" s="11"/>
      <c r="C40" s="111">
        <v>26120</v>
      </c>
      <c r="D40" s="111">
        <v>25450</v>
      </c>
      <c r="E40" s="111">
        <v>25420</v>
      </c>
      <c r="F40" s="111">
        <v>25170</v>
      </c>
      <c r="G40" s="111">
        <v>25960</v>
      </c>
      <c r="H40" s="111">
        <v>26760</v>
      </c>
      <c r="I40" s="111">
        <v>27720</v>
      </c>
      <c r="J40" s="111">
        <v>28540</v>
      </c>
      <c r="K40" s="111">
        <v>29470</v>
      </c>
      <c r="L40" s="111">
        <v>29380</v>
      </c>
      <c r="M40" s="111">
        <v>29300</v>
      </c>
      <c r="N40" s="111">
        <v>29420</v>
      </c>
      <c r="O40" s="111">
        <v>29820</v>
      </c>
      <c r="P40" s="111">
        <v>30860</v>
      </c>
      <c r="Q40" s="111">
        <v>31620</v>
      </c>
      <c r="R40" s="111">
        <v>32500</v>
      </c>
      <c r="S40" s="111">
        <v>33720</v>
      </c>
      <c r="T40" s="111">
        <v>33000</v>
      </c>
    </row>
    <row r="41" spans="1:20" ht="12.75">
      <c r="A41" s="113" t="s">
        <v>38</v>
      </c>
      <c r="B41" s="11"/>
      <c r="C41" s="111">
        <v>27080</v>
      </c>
      <c r="D41" s="111">
        <v>26280</v>
      </c>
      <c r="E41" s="111">
        <v>25600</v>
      </c>
      <c r="F41" s="111">
        <v>25620</v>
      </c>
      <c r="G41" s="111">
        <v>25430</v>
      </c>
      <c r="H41" s="111">
        <v>26160</v>
      </c>
      <c r="I41" s="111">
        <v>26970</v>
      </c>
      <c r="J41" s="111">
        <v>27920</v>
      </c>
      <c r="K41" s="111">
        <v>28740</v>
      </c>
      <c r="L41" s="111">
        <v>29670</v>
      </c>
      <c r="M41" s="111">
        <v>29590</v>
      </c>
      <c r="N41" s="111">
        <v>29500</v>
      </c>
      <c r="O41" s="111">
        <v>29620</v>
      </c>
      <c r="P41" s="111">
        <v>30020</v>
      </c>
      <c r="Q41" s="111">
        <v>31060</v>
      </c>
      <c r="R41" s="111">
        <v>31820</v>
      </c>
      <c r="S41" s="111">
        <v>32710</v>
      </c>
      <c r="T41" s="111">
        <v>33920</v>
      </c>
    </row>
    <row r="42" spans="1:20" ht="12.75">
      <c r="A42" s="113" t="s">
        <v>39</v>
      </c>
      <c r="B42" s="11"/>
      <c r="C42" s="111">
        <v>28270</v>
      </c>
      <c r="D42" s="111">
        <v>27240</v>
      </c>
      <c r="E42" s="111">
        <v>26350</v>
      </c>
      <c r="F42" s="111">
        <v>25790</v>
      </c>
      <c r="G42" s="111">
        <v>25860</v>
      </c>
      <c r="H42" s="111">
        <v>25620</v>
      </c>
      <c r="I42" s="111">
        <v>26350</v>
      </c>
      <c r="J42" s="111">
        <v>27160</v>
      </c>
      <c r="K42" s="111">
        <v>28110</v>
      </c>
      <c r="L42" s="111">
        <v>28930</v>
      </c>
      <c r="M42" s="111">
        <v>29860</v>
      </c>
      <c r="N42" s="111">
        <v>29770</v>
      </c>
      <c r="O42" s="111">
        <v>29690</v>
      </c>
      <c r="P42" s="111">
        <v>29810</v>
      </c>
      <c r="Q42" s="111">
        <v>30210</v>
      </c>
      <c r="R42" s="111">
        <v>31250</v>
      </c>
      <c r="S42" s="111">
        <v>32010</v>
      </c>
      <c r="T42" s="111">
        <v>32890</v>
      </c>
    </row>
    <row r="43" spans="1:20" ht="12.75">
      <c r="A43" s="113" t="s">
        <v>40</v>
      </c>
      <c r="B43" s="11"/>
      <c r="C43" s="111">
        <v>29670</v>
      </c>
      <c r="D43" s="111">
        <v>28480</v>
      </c>
      <c r="E43" s="111">
        <v>27320</v>
      </c>
      <c r="F43" s="111">
        <v>26530</v>
      </c>
      <c r="G43" s="111">
        <v>26020</v>
      </c>
      <c r="H43" s="111">
        <v>26040</v>
      </c>
      <c r="I43" s="111">
        <v>25800</v>
      </c>
      <c r="J43" s="111">
        <v>26530</v>
      </c>
      <c r="K43" s="111">
        <v>27340</v>
      </c>
      <c r="L43" s="111">
        <v>28290</v>
      </c>
      <c r="M43" s="111">
        <v>29110</v>
      </c>
      <c r="N43" s="111">
        <v>30030</v>
      </c>
      <c r="O43" s="111">
        <v>29950</v>
      </c>
      <c r="P43" s="111">
        <v>29870</v>
      </c>
      <c r="Q43" s="111">
        <v>29990</v>
      </c>
      <c r="R43" s="111">
        <v>30390</v>
      </c>
      <c r="S43" s="111">
        <v>31430</v>
      </c>
      <c r="T43" s="111">
        <v>32190</v>
      </c>
    </row>
    <row r="44" spans="1:20" ht="12.75">
      <c r="A44" s="113" t="s">
        <v>41</v>
      </c>
      <c r="B44" s="11"/>
      <c r="C44" s="111">
        <v>30140</v>
      </c>
      <c r="D44" s="111">
        <v>29820</v>
      </c>
      <c r="E44" s="111">
        <v>28530</v>
      </c>
      <c r="F44" s="111">
        <v>27480</v>
      </c>
      <c r="G44" s="111">
        <v>26740</v>
      </c>
      <c r="H44" s="111">
        <v>26190</v>
      </c>
      <c r="I44" s="111">
        <v>26210</v>
      </c>
      <c r="J44" s="111">
        <v>25970</v>
      </c>
      <c r="K44" s="111">
        <v>26700</v>
      </c>
      <c r="L44" s="111">
        <v>27500</v>
      </c>
      <c r="M44" s="111">
        <v>28460</v>
      </c>
      <c r="N44" s="111">
        <v>29280</v>
      </c>
      <c r="O44" s="111">
        <v>30200</v>
      </c>
      <c r="P44" s="111">
        <v>30120</v>
      </c>
      <c r="Q44" s="111">
        <v>30040</v>
      </c>
      <c r="R44" s="111">
        <v>30160</v>
      </c>
      <c r="S44" s="111">
        <v>30560</v>
      </c>
      <c r="T44" s="111">
        <v>31600</v>
      </c>
    </row>
    <row r="45" spans="1:20" ht="12.75">
      <c r="A45" s="113" t="s">
        <v>42</v>
      </c>
      <c r="B45" s="11"/>
      <c r="C45" s="111">
        <v>29680</v>
      </c>
      <c r="D45" s="111">
        <v>30270</v>
      </c>
      <c r="E45" s="111">
        <v>29920</v>
      </c>
      <c r="F45" s="111">
        <v>28680</v>
      </c>
      <c r="G45" s="111">
        <v>27680</v>
      </c>
      <c r="H45" s="111">
        <v>26890</v>
      </c>
      <c r="I45" s="111">
        <v>26340</v>
      </c>
      <c r="J45" s="111">
        <v>26360</v>
      </c>
      <c r="K45" s="111">
        <v>26120</v>
      </c>
      <c r="L45" s="111">
        <v>26850</v>
      </c>
      <c r="M45" s="111">
        <v>27660</v>
      </c>
      <c r="N45" s="111">
        <v>28610</v>
      </c>
      <c r="O45" s="111">
        <v>29430</v>
      </c>
      <c r="P45" s="111">
        <v>30360</v>
      </c>
      <c r="Q45" s="111">
        <v>30280</v>
      </c>
      <c r="R45" s="111">
        <v>30190</v>
      </c>
      <c r="S45" s="111">
        <v>30310</v>
      </c>
      <c r="T45" s="111">
        <v>30720</v>
      </c>
    </row>
    <row r="46" spans="1:20" ht="12.75">
      <c r="A46" s="113" t="s">
        <v>43</v>
      </c>
      <c r="B46" s="11"/>
      <c r="C46" s="111">
        <v>30040</v>
      </c>
      <c r="D46" s="111">
        <v>29810</v>
      </c>
      <c r="E46" s="111">
        <v>30350</v>
      </c>
      <c r="F46" s="111">
        <v>30060</v>
      </c>
      <c r="G46" s="111">
        <v>28860</v>
      </c>
      <c r="H46" s="111">
        <v>27820</v>
      </c>
      <c r="I46" s="111">
        <v>27030</v>
      </c>
      <c r="J46" s="111">
        <v>26480</v>
      </c>
      <c r="K46" s="111">
        <v>26500</v>
      </c>
      <c r="L46" s="111">
        <v>26260</v>
      </c>
      <c r="M46" s="111">
        <v>26990</v>
      </c>
      <c r="N46" s="111">
        <v>27800</v>
      </c>
      <c r="O46" s="111">
        <v>28760</v>
      </c>
      <c r="P46" s="111">
        <v>29570</v>
      </c>
      <c r="Q46" s="111">
        <v>30500</v>
      </c>
      <c r="R46" s="111">
        <v>30420</v>
      </c>
      <c r="S46" s="111">
        <v>30340</v>
      </c>
      <c r="T46" s="111">
        <v>30450</v>
      </c>
    </row>
    <row r="47" spans="1:20" ht="12.75">
      <c r="A47" s="113" t="s">
        <v>44</v>
      </c>
      <c r="B47" s="11"/>
      <c r="C47" s="111">
        <v>29710</v>
      </c>
      <c r="D47" s="111">
        <v>30170</v>
      </c>
      <c r="E47" s="111">
        <v>29810</v>
      </c>
      <c r="F47" s="111">
        <v>30470</v>
      </c>
      <c r="G47" s="111">
        <v>30220</v>
      </c>
      <c r="H47" s="111">
        <v>28980</v>
      </c>
      <c r="I47" s="111">
        <v>27940</v>
      </c>
      <c r="J47" s="111">
        <v>27160</v>
      </c>
      <c r="K47" s="111">
        <v>26610</v>
      </c>
      <c r="L47" s="111">
        <v>26630</v>
      </c>
      <c r="M47" s="111">
        <v>26400</v>
      </c>
      <c r="N47" s="111">
        <v>27130</v>
      </c>
      <c r="O47" s="111">
        <v>27930</v>
      </c>
      <c r="P47" s="111">
        <v>28890</v>
      </c>
      <c r="Q47" s="111">
        <v>29710</v>
      </c>
      <c r="R47" s="111">
        <v>30630</v>
      </c>
      <c r="S47" s="111">
        <v>30550</v>
      </c>
      <c r="T47" s="111">
        <v>30470</v>
      </c>
    </row>
    <row r="48" spans="1:20" ht="12.75">
      <c r="A48" s="113" t="s">
        <v>45</v>
      </c>
      <c r="B48" s="11"/>
      <c r="C48" s="111">
        <v>29570</v>
      </c>
      <c r="D48" s="111">
        <v>29830</v>
      </c>
      <c r="E48" s="111">
        <v>30140</v>
      </c>
      <c r="F48" s="111">
        <v>29920</v>
      </c>
      <c r="G48" s="111">
        <v>30620</v>
      </c>
      <c r="H48" s="111">
        <v>30330</v>
      </c>
      <c r="I48" s="111">
        <v>29100</v>
      </c>
      <c r="J48" s="111">
        <v>28060</v>
      </c>
      <c r="K48" s="111">
        <v>27280</v>
      </c>
      <c r="L48" s="111">
        <v>26730</v>
      </c>
      <c r="M48" s="111">
        <v>26750</v>
      </c>
      <c r="N48" s="111">
        <v>26520</v>
      </c>
      <c r="O48" s="111">
        <v>27250</v>
      </c>
      <c r="P48" s="111">
        <v>28050</v>
      </c>
      <c r="Q48" s="111">
        <v>29010</v>
      </c>
      <c r="R48" s="111">
        <v>29820</v>
      </c>
      <c r="S48" s="111">
        <v>30750</v>
      </c>
      <c r="T48" s="111">
        <v>30670</v>
      </c>
    </row>
    <row r="49" spans="1:20" ht="12.75">
      <c r="A49" s="113" t="s">
        <v>46</v>
      </c>
      <c r="B49" s="11"/>
      <c r="C49" s="111">
        <v>29920</v>
      </c>
      <c r="D49" s="111">
        <v>29680</v>
      </c>
      <c r="E49" s="111">
        <v>29780</v>
      </c>
      <c r="F49" s="111">
        <v>30230</v>
      </c>
      <c r="G49" s="111">
        <v>30040</v>
      </c>
      <c r="H49" s="111">
        <v>30710</v>
      </c>
      <c r="I49" s="111">
        <v>30420</v>
      </c>
      <c r="J49" s="111">
        <v>29190</v>
      </c>
      <c r="K49" s="111">
        <v>28160</v>
      </c>
      <c r="L49" s="111">
        <v>27380</v>
      </c>
      <c r="M49" s="111">
        <v>26830</v>
      </c>
      <c r="N49" s="111">
        <v>26850</v>
      </c>
      <c r="O49" s="111">
        <v>26620</v>
      </c>
      <c r="P49" s="111">
        <v>27350</v>
      </c>
      <c r="Q49" s="111">
        <v>28150</v>
      </c>
      <c r="R49" s="111">
        <v>29110</v>
      </c>
      <c r="S49" s="111">
        <v>29920</v>
      </c>
      <c r="T49" s="111">
        <v>30850</v>
      </c>
    </row>
    <row r="50" spans="1:20" ht="12.75">
      <c r="A50" s="113" t="s">
        <v>47</v>
      </c>
      <c r="B50" s="11"/>
      <c r="C50" s="111">
        <v>30380</v>
      </c>
      <c r="D50" s="111">
        <v>30010</v>
      </c>
      <c r="E50" s="111">
        <v>29680</v>
      </c>
      <c r="F50" s="111">
        <v>29860</v>
      </c>
      <c r="G50" s="111">
        <v>30340</v>
      </c>
      <c r="H50" s="111">
        <v>30110</v>
      </c>
      <c r="I50" s="111">
        <v>30790</v>
      </c>
      <c r="J50" s="111">
        <v>30500</v>
      </c>
      <c r="K50" s="111">
        <v>29270</v>
      </c>
      <c r="L50" s="111">
        <v>28240</v>
      </c>
      <c r="M50" s="111">
        <v>27460</v>
      </c>
      <c r="N50" s="111">
        <v>26910</v>
      </c>
      <c r="O50" s="111">
        <v>26940</v>
      </c>
      <c r="P50" s="111">
        <v>26700</v>
      </c>
      <c r="Q50" s="111">
        <v>27430</v>
      </c>
      <c r="R50" s="111">
        <v>28240</v>
      </c>
      <c r="S50" s="111">
        <v>29190</v>
      </c>
      <c r="T50" s="111">
        <v>30010</v>
      </c>
    </row>
    <row r="51" spans="1:20" ht="12.75">
      <c r="A51" s="113" t="s">
        <v>48</v>
      </c>
      <c r="B51" s="11"/>
      <c r="C51" s="111">
        <v>31600</v>
      </c>
      <c r="D51" s="111">
        <v>30440</v>
      </c>
      <c r="E51" s="111">
        <v>30000</v>
      </c>
      <c r="F51" s="111">
        <v>29730</v>
      </c>
      <c r="G51" s="111">
        <v>29940</v>
      </c>
      <c r="H51" s="111">
        <v>30390</v>
      </c>
      <c r="I51" s="111">
        <v>30170</v>
      </c>
      <c r="J51" s="111">
        <v>30840</v>
      </c>
      <c r="K51" s="111">
        <v>30550</v>
      </c>
      <c r="L51" s="111">
        <v>29330</v>
      </c>
      <c r="M51" s="111">
        <v>28300</v>
      </c>
      <c r="N51" s="111">
        <v>27520</v>
      </c>
      <c r="O51" s="111">
        <v>26980</v>
      </c>
      <c r="P51" s="111">
        <v>27000</v>
      </c>
      <c r="Q51" s="111">
        <v>26770</v>
      </c>
      <c r="R51" s="111">
        <v>27490</v>
      </c>
      <c r="S51" s="111">
        <v>28300</v>
      </c>
      <c r="T51" s="111">
        <v>29250</v>
      </c>
    </row>
    <row r="52" spans="1:20" ht="12.75">
      <c r="A52" s="113" t="s">
        <v>49</v>
      </c>
      <c r="B52" s="11"/>
      <c r="C52" s="111">
        <v>31940</v>
      </c>
      <c r="D52" s="111">
        <v>31620</v>
      </c>
      <c r="E52" s="111">
        <v>30390</v>
      </c>
      <c r="F52" s="111">
        <v>30030</v>
      </c>
      <c r="G52" s="111">
        <v>29790</v>
      </c>
      <c r="H52" s="111">
        <v>29980</v>
      </c>
      <c r="I52" s="111">
        <v>30420</v>
      </c>
      <c r="J52" s="111">
        <v>30200</v>
      </c>
      <c r="K52" s="111">
        <v>30880</v>
      </c>
      <c r="L52" s="111">
        <v>30590</v>
      </c>
      <c r="M52" s="111">
        <v>29370</v>
      </c>
      <c r="N52" s="111">
        <v>28340</v>
      </c>
      <c r="O52" s="111">
        <v>27570</v>
      </c>
      <c r="P52" s="111">
        <v>27020</v>
      </c>
      <c r="Q52" s="111">
        <v>27050</v>
      </c>
      <c r="R52" s="111">
        <v>26810</v>
      </c>
      <c r="S52" s="111">
        <v>27540</v>
      </c>
      <c r="T52" s="111">
        <v>28350</v>
      </c>
    </row>
    <row r="53" spans="1:20" ht="12.75">
      <c r="A53" s="113" t="s">
        <v>50</v>
      </c>
      <c r="B53" s="11"/>
      <c r="C53" s="111">
        <v>32110</v>
      </c>
      <c r="D53" s="111">
        <v>31950</v>
      </c>
      <c r="E53" s="111">
        <v>31520</v>
      </c>
      <c r="F53" s="111">
        <v>30400</v>
      </c>
      <c r="G53" s="111">
        <v>30080</v>
      </c>
      <c r="H53" s="111">
        <v>29810</v>
      </c>
      <c r="I53" s="111">
        <v>29990</v>
      </c>
      <c r="J53" s="111">
        <v>30440</v>
      </c>
      <c r="K53" s="111">
        <v>30220</v>
      </c>
      <c r="L53" s="111">
        <v>30890</v>
      </c>
      <c r="M53" s="111">
        <v>30610</v>
      </c>
      <c r="N53" s="111">
        <v>29390</v>
      </c>
      <c r="O53" s="111">
        <v>28360</v>
      </c>
      <c r="P53" s="111">
        <v>27590</v>
      </c>
      <c r="Q53" s="111">
        <v>27050</v>
      </c>
      <c r="R53" s="111">
        <v>27070</v>
      </c>
      <c r="S53" s="111">
        <v>26840</v>
      </c>
      <c r="T53" s="111">
        <v>27570</v>
      </c>
    </row>
    <row r="54" spans="1:20" ht="12.75">
      <c r="A54" s="113" t="s">
        <v>51</v>
      </c>
      <c r="B54" s="11"/>
      <c r="C54" s="111">
        <v>31490</v>
      </c>
      <c r="D54" s="111">
        <v>32090</v>
      </c>
      <c r="E54" s="111">
        <v>31870</v>
      </c>
      <c r="F54" s="111">
        <v>31510</v>
      </c>
      <c r="G54" s="111">
        <v>30420</v>
      </c>
      <c r="H54" s="111">
        <v>30070</v>
      </c>
      <c r="I54" s="111">
        <v>29800</v>
      </c>
      <c r="J54" s="111">
        <v>29990</v>
      </c>
      <c r="K54" s="111">
        <v>30440</v>
      </c>
      <c r="L54" s="111">
        <v>30220</v>
      </c>
      <c r="M54" s="111">
        <v>30890</v>
      </c>
      <c r="N54" s="111">
        <v>30610</v>
      </c>
      <c r="O54" s="111">
        <v>29390</v>
      </c>
      <c r="P54" s="111">
        <v>28370</v>
      </c>
      <c r="Q54" s="111">
        <v>27600</v>
      </c>
      <c r="R54" s="111">
        <v>27050</v>
      </c>
      <c r="S54" s="111">
        <v>27080</v>
      </c>
      <c r="T54" s="111">
        <v>26850</v>
      </c>
    </row>
    <row r="55" spans="1:20" ht="12.75">
      <c r="A55" s="113" t="s">
        <v>52</v>
      </c>
      <c r="B55" s="11"/>
      <c r="C55" s="111">
        <v>30540</v>
      </c>
      <c r="D55" s="111">
        <v>31410</v>
      </c>
      <c r="E55" s="111">
        <v>31980</v>
      </c>
      <c r="F55" s="111">
        <v>31840</v>
      </c>
      <c r="G55" s="111">
        <v>31500</v>
      </c>
      <c r="H55" s="111">
        <v>30390</v>
      </c>
      <c r="I55" s="111">
        <v>30040</v>
      </c>
      <c r="J55" s="111">
        <v>29780</v>
      </c>
      <c r="K55" s="111">
        <v>29960</v>
      </c>
      <c r="L55" s="111">
        <v>30410</v>
      </c>
      <c r="M55" s="111">
        <v>30190</v>
      </c>
      <c r="N55" s="111">
        <v>30860</v>
      </c>
      <c r="O55" s="111">
        <v>30580</v>
      </c>
      <c r="P55" s="111">
        <v>29370</v>
      </c>
      <c r="Q55" s="111">
        <v>28350</v>
      </c>
      <c r="R55" s="111">
        <v>27580</v>
      </c>
      <c r="S55" s="111">
        <v>27040</v>
      </c>
      <c r="T55" s="111">
        <v>27070</v>
      </c>
    </row>
    <row r="56" spans="1:20" ht="12.75">
      <c r="A56" s="113" t="s">
        <v>53</v>
      </c>
      <c r="B56" s="11"/>
      <c r="C56" s="111">
        <v>30080</v>
      </c>
      <c r="D56" s="111">
        <v>30450</v>
      </c>
      <c r="E56" s="111">
        <v>31300</v>
      </c>
      <c r="F56" s="111">
        <v>31920</v>
      </c>
      <c r="G56" s="111">
        <v>31810</v>
      </c>
      <c r="H56" s="111">
        <v>31440</v>
      </c>
      <c r="I56" s="111">
        <v>30340</v>
      </c>
      <c r="J56" s="111">
        <v>29990</v>
      </c>
      <c r="K56" s="111">
        <v>29730</v>
      </c>
      <c r="L56" s="111">
        <v>29910</v>
      </c>
      <c r="M56" s="111">
        <v>30360</v>
      </c>
      <c r="N56" s="111">
        <v>30150</v>
      </c>
      <c r="O56" s="111">
        <v>30820</v>
      </c>
      <c r="P56" s="111">
        <v>30540</v>
      </c>
      <c r="Q56" s="111">
        <v>29330</v>
      </c>
      <c r="R56" s="111">
        <v>28310</v>
      </c>
      <c r="S56" s="111">
        <v>27550</v>
      </c>
      <c r="T56" s="111">
        <v>27010</v>
      </c>
    </row>
    <row r="57" spans="1:20" ht="12.75">
      <c r="A57" s="113" t="s">
        <v>54</v>
      </c>
      <c r="B57" s="11"/>
      <c r="C57" s="111">
        <v>28610</v>
      </c>
      <c r="D57" s="111">
        <v>29990</v>
      </c>
      <c r="E57" s="111">
        <v>30290</v>
      </c>
      <c r="F57" s="111">
        <v>31230</v>
      </c>
      <c r="G57" s="111">
        <v>31870</v>
      </c>
      <c r="H57" s="111">
        <v>31730</v>
      </c>
      <c r="I57" s="111">
        <v>31370</v>
      </c>
      <c r="J57" s="111">
        <v>30270</v>
      </c>
      <c r="K57" s="111">
        <v>29920</v>
      </c>
      <c r="L57" s="111">
        <v>29660</v>
      </c>
      <c r="M57" s="111">
        <v>29850</v>
      </c>
      <c r="N57" s="111">
        <v>30300</v>
      </c>
      <c r="O57" s="111">
        <v>30090</v>
      </c>
      <c r="P57" s="111">
        <v>30760</v>
      </c>
      <c r="Q57" s="111">
        <v>30480</v>
      </c>
      <c r="R57" s="111">
        <v>29270</v>
      </c>
      <c r="S57" s="111">
        <v>28260</v>
      </c>
      <c r="T57" s="111">
        <v>27490</v>
      </c>
    </row>
    <row r="58" spans="1:20" ht="12.75">
      <c r="A58" s="113" t="s">
        <v>55</v>
      </c>
      <c r="B58" s="11"/>
      <c r="C58" s="111">
        <v>28400</v>
      </c>
      <c r="D58" s="111">
        <v>28500</v>
      </c>
      <c r="E58" s="111">
        <v>29810</v>
      </c>
      <c r="F58" s="111">
        <v>30200</v>
      </c>
      <c r="G58" s="111">
        <v>31160</v>
      </c>
      <c r="H58" s="111">
        <v>31770</v>
      </c>
      <c r="I58" s="111">
        <v>31640</v>
      </c>
      <c r="J58" s="111">
        <v>31280</v>
      </c>
      <c r="K58" s="111">
        <v>30180</v>
      </c>
      <c r="L58" s="111">
        <v>29840</v>
      </c>
      <c r="M58" s="111">
        <v>29580</v>
      </c>
      <c r="N58" s="111">
        <v>29770</v>
      </c>
      <c r="O58" s="111">
        <v>30220</v>
      </c>
      <c r="P58" s="111">
        <v>30010</v>
      </c>
      <c r="Q58" s="111">
        <v>30680</v>
      </c>
      <c r="R58" s="111">
        <v>30400</v>
      </c>
      <c r="S58" s="111">
        <v>29200</v>
      </c>
      <c r="T58" s="111">
        <v>28180</v>
      </c>
    </row>
    <row r="59" spans="1:20" ht="12.75">
      <c r="A59" s="113" t="s">
        <v>56</v>
      </c>
      <c r="B59" s="11"/>
      <c r="C59" s="111">
        <v>27750</v>
      </c>
      <c r="D59" s="111">
        <v>28290</v>
      </c>
      <c r="E59" s="111">
        <v>28330</v>
      </c>
      <c r="F59" s="111">
        <v>29710</v>
      </c>
      <c r="G59" s="111">
        <v>30120</v>
      </c>
      <c r="H59" s="111">
        <v>31050</v>
      </c>
      <c r="I59" s="111">
        <v>31670</v>
      </c>
      <c r="J59" s="111">
        <v>31540</v>
      </c>
      <c r="K59" s="111">
        <v>31180</v>
      </c>
      <c r="L59" s="111">
        <v>30090</v>
      </c>
      <c r="M59" s="111">
        <v>29750</v>
      </c>
      <c r="N59" s="111">
        <v>29490</v>
      </c>
      <c r="O59" s="111">
        <v>29680</v>
      </c>
      <c r="P59" s="111">
        <v>30130</v>
      </c>
      <c r="Q59" s="111">
        <v>29920</v>
      </c>
      <c r="R59" s="111">
        <v>30590</v>
      </c>
      <c r="S59" s="111">
        <v>30310</v>
      </c>
      <c r="T59" s="111">
        <v>29110</v>
      </c>
    </row>
    <row r="60" spans="1:20" ht="12.75">
      <c r="A60" s="113" t="s">
        <v>57</v>
      </c>
      <c r="B60" s="11"/>
      <c r="C60" s="111">
        <v>26550</v>
      </c>
      <c r="D60" s="111">
        <v>27640</v>
      </c>
      <c r="E60" s="111">
        <v>28140</v>
      </c>
      <c r="F60" s="111">
        <v>28210</v>
      </c>
      <c r="G60" s="111">
        <v>29610</v>
      </c>
      <c r="H60" s="111">
        <v>30000</v>
      </c>
      <c r="I60" s="111">
        <v>30930</v>
      </c>
      <c r="J60" s="111">
        <v>31550</v>
      </c>
      <c r="K60" s="111">
        <v>31420</v>
      </c>
      <c r="L60" s="111">
        <v>31070</v>
      </c>
      <c r="M60" s="111">
        <v>29980</v>
      </c>
      <c r="N60" s="111">
        <v>29640</v>
      </c>
      <c r="O60" s="111">
        <v>29390</v>
      </c>
      <c r="P60" s="111">
        <v>29580</v>
      </c>
      <c r="Q60" s="111">
        <v>30020</v>
      </c>
      <c r="R60" s="111">
        <v>29820</v>
      </c>
      <c r="S60" s="111">
        <v>30490</v>
      </c>
      <c r="T60" s="111">
        <v>30210</v>
      </c>
    </row>
    <row r="61" spans="1:20" ht="12.75">
      <c r="A61" s="113" t="s">
        <v>58</v>
      </c>
      <c r="B61" s="11"/>
      <c r="C61" s="111">
        <v>25810</v>
      </c>
      <c r="D61" s="111">
        <v>26420</v>
      </c>
      <c r="E61" s="111">
        <v>27430</v>
      </c>
      <c r="F61" s="111">
        <v>28020</v>
      </c>
      <c r="G61" s="111">
        <v>28110</v>
      </c>
      <c r="H61" s="111">
        <v>29490</v>
      </c>
      <c r="I61" s="111">
        <v>29880</v>
      </c>
      <c r="J61" s="111">
        <v>30810</v>
      </c>
      <c r="K61" s="111">
        <v>31430</v>
      </c>
      <c r="L61" s="111">
        <v>31300</v>
      </c>
      <c r="M61" s="111">
        <v>30950</v>
      </c>
      <c r="N61" s="111">
        <v>29860</v>
      </c>
      <c r="O61" s="111">
        <v>29530</v>
      </c>
      <c r="P61" s="111">
        <v>29280</v>
      </c>
      <c r="Q61" s="111">
        <v>29470</v>
      </c>
      <c r="R61" s="111">
        <v>29910</v>
      </c>
      <c r="S61" s="111">
        <v>29710</v>
      </c>
      <c r="T61" s="111">
        <v>30380</v>
      </c>
    </row>
    <row r="62" spans="1:20" ht="12.75">
      <c r="A62" s="113" t="s">
        <v>59</v>
      </c>
      <c r="B62" s="11"/>
      <c r="C62" s="111">
        <v>25070</v>
      </c>
      <c r="D62" s="111">
        <v>25640</v>
      </c>
      <c r="E62" s="111">
        <v>26210</v>
      </c>
      <c r="F62" s="111">
        <v>27310</v>
      </c>
      <c r="G62" s="111">
        <v>27910</v>
      </c>
      <c r="H62" s="111">
        <v>27990</v>
      </c>
      <c r="I62" s="111">
        <v>29360</v>
      </c>
      <c r="J62" s="111">
        <v>29750</v>
      </c>
      <c r="K62" s="111">
        <v>30680</v>
      </c>
      <c r="L62" s="111">
        <v>31290</v>
      </c>
      <c r="M62" s="111">
        <v>31170</v>
      </c>
      <c r="N62" s="111">
        <v>30820</v>
      </c>
      <c r="O62" s="111">
        <v>29740</v>
      </c>
      <c r="P62" s="111">
        <v>29410</v>
      </c>
      <c r="Q62" s="111">
        <v>29160</v>
      </c>
      <c r="R62" s="111">
        <v>29350</v>
      </c>
      <c r="S62" s="111">
        <v>29800</v>
      </c>
      <c r="T62" s="111">
        <v>29600</v>
      </c>
    </row>
    <row r="63" spans="1:20" ht="12.75">
      <c r="A63" s="113" t="s">
        <v>60</v>
      </c>
      <c r="B63" s="11"/>
      <c r="C63" s="111">
        <v>24750</v>
      </c>
      <c r="D63" s="111">
        <v>24900</v>
      </c>
      <c r="E63" s="111">
        <v>25520</v>
      </c>
      <c r="F63" s="111">
        <v>26080</v>
      </c>
      <c r="G63" s="111">
        <v>27190</v>
      </c>
      <c r="H63" s="111">
        <v>27780</v>
      </c>
      <c r="I63" s="111">
        <v>27850</v>
      </c>
      <c r="J63" s="111">
        <v>29220</v>
      </c>
      <c r="K63" s="111">
        <v>29620</v>
      </c>
      <c r="L63" s="111">
        <v>30540</v>
      </c>
      <c r="M63" s="111">
        <v>31160</v>
      </c>
      <c r="N63" s="111">
        <v>31040</v>
      </c>
      <c r="O63" s="111">
        <v>30690</v>
      </c>
      <c r="P63" s="111">
        <v>29620</v>
      </c>
      <c r="Q63" s="111">
        <v>29290</v>
      </c>
      <c r="R63" s="111">
        <v>29040</v>
      </c>
      <c r="S63" s="111">
        <v>29230</v>
      </c>
      <c r="T63" s="111">
        <v>29680</v>
      </c>
    </row>
    <row r="64" spans="1:20" ht="12.75">
      <c r="A64" s="113" t="s">
        <v>61</v>
      </c>
      <c r="B64" s="11"/>
      <c r="C64" s="111">
        <v>24160</v>
      </c>
      <c r="D64" s="111">
        <v>24600</v>
      </c>
      <c r="E64" s="111">
        <v>24710</v>
      </c>
      <c r="F64" s="111">
        <v>25380</v>
      </c>
      <c r="G64" s="111">
        <v>25960</v>
      </c>
      <c r="H64" s="111">
        <v>27050</v>
      </c>
      <c r="I64" s="111">
        <v>27640</v>
      </c>
      <c r="J64" s="111">
        <v>27720</v>
      </c>
      <c r="K64" s="111">
        <v>29080</v>
      </c>
      <c r="L64" s="111">
        <v>29470</v>
      </c>
      <c r="M64" s="111">
        <v>30400</v>
      </c>
      <c r="N64" s="111">
        <v>31020</v>
      </c>
      <c r="O64" s="111">
        <v>30890</v>
      </c>
      <c r="P64" s="111">
        <v>30550</v>
      </c>
      <c r="Q64" s="111">
        <v>29490</v>
      </c>
      <c r="R64" s="111">
        <v>29160</v>
      </c>
      <c r="S64" s="111">
        <v>28910</v>
      </c>
      <c r="T64" s="111">
        <v>29110</v>
      </c>
    </row>
    <row r="65" spans="1:20" ht="12.75">
      <c r="A65" s="113" t="s">
        <v>62</v>
      </c>
      <c r="B65" s="11"/>
      <c r="C65" s="111">
        <v>24180</v>
      </c>
      <c r="D65" s="111">
        <v>24030</v>
      </c>
      <c r="E65" s="111">
        <v>24420</v>
      </c>
      <c r="F65" s="111">
        <v>24570</v>
      </c>
      <c r="G65" s="111">
        <v>25260</v>
      </c>
      <c r="H65" s="111">
        <v>25820</v>
      </c>
      <c r="I65" s="111">
        <v>26910</v>
      </c>
      <c r="J65" s="111">
        <v>27490</v>
      </c>
      <c r="K65" s="111">
        <v>27570</v>
      </c>
      <c r="L65" s="111">
        <v>28930</v>
      </c>
      <c r="M65" s="111">
        <v>29330</v>
      </c>
      <c r="N65" s="111">
        <v>30250</v>
      </c>
      <c r="O65" s="111">
        <v>30870</v>
      </c>
      <c r="P65" s="111">
        <v>30750</v>
      </c>
      <c r="Q65" s="111">
        <v>30410</v>
      </c>
      <c r="R65" s="111">
        <v>29350</v>
      </c>
      <c r="S65" s="111">
        <v>29030</v>
      </c>
      <c r="T65" s="111">
        <v>28780</v>
      </c>
    </row>
    <row r="66" spans="1:20" ht="12.75">
      <c r="A66" s="113" t="s">
        <v>63</v>
      </c>
      <c r="B66" s="11"/>
      <c r="C66" s="111">
        <v>23830</v>
      </c>
      <c r="D66" s="111">
        <v>24010</v>
      </c>
      <c r="E66" s="111">
        <v>23870</v>
      </c>
      <c r="F66" s="111">
        <v>24280</v>
      </c>
      <c r="G66" s="111">
        <v>24440</v>
      </c>
      <c r="H66" s="111">
        <v>25110</v>
      </c>
      <c r="I66" s="111">
        <v>25680</v>
      </c>
      <c r="J66" s="111">
        <v>26760</v>
      </c>
      <c r="K66" s="111">
        <v>27350</v>
      </c>
      <c r="L66" s="111">
        <v>27430</v>
      </c>
      <c r="M66" s="111">
        <v>28790</v>
      </c>
      <c r="N66" s="111">
        <v>29180</v>
      </c>
      <c r="O66" s="111">
        <v>30100</v>
      </c>
      <c r="P66" s="111">
        <v>30720</v>
      </c>
      <c r="Q66" s="111">
        <v>30600</v>
      </c>
      <c r="R66" s="111">
        <v>30270</v>
      </c>
      <c r="S66" s="111">
        <v>29210</v>
      </c>
      <c r="T66" s="111">
        <v>28890</v>
      </c>
    </row>
    <row r="67" spans="1:20" ht="12.75">
      <c r="A67" s="113" t="s">
        <v>64</v>
      </c>
      <c r="B67" s="11"/>
      <c r="C67" s="111">
        <v>23890</v>
      </c>
      <c r="D67" s="111">
        <v>23670</v>
      </c>
      <c r="E67" s="111">
        <v>23860</v>
      </c>
      <c r="F67" s="111">
        <v>23720</v>
      </c>
      <c r="G67" s="111">
        <v>24140</v>
      </c>
      <c r="H67" s="111">
        <v>24300</v>
      </c>
      <c r="I67" s="111">
        <v>24970</v>
      </c>
      <c r="J67" s="111">
        <v>25530</v>
      </c>
      <c r="K67" s="111">
        <v>26610</v>
      </c>
      <c r="L67" s="111">
        <v>27200</v>
      </c>
      <c r="M67" s="111">
        <v>27280</v>
      </c>
      <c r="N67" s="111">
        <v>28630</v>
      </c>
      <c r="O67" s="111">
        <v>29030</v>
      </c>
      <c r="P67" s="111">
        <v>29950</v>
      </c>
      <c r="Q67" s="111">
        <v>30560</v>
      </c>
      <c r="R67" s="111">
        <v>30450</v>
      </c>
      <c r="S67" s="111">
        <v>30120</v>
      </c>
      <c r="T67" s="111">
        <v>29070</v>
      </c>
    </row>
    <row r="68" spans="1:20" ht="12.75">
      <c r="A68" s="113" t="s">
        <v>65</v>
      </c>
      <c r="B68" s="11"/>
      <c r="C68" s="111">
        <v>24020</v>
      </c>
      <c r="D68" s="111">
        <v>23760</v>
      </c>
      <c r="E68" s="111">
        <v>23520</v>
      </c>
      <c r="F68" s="111">
        <v>23720</v>
      </c>
      <c r="G68" s="111">
        <v>23590</v>
      </c>
      <c r="H68" s="111">
        <v>24000</v>
      </c>
      <c r="I68" s="111">
        <v>24150</v>
      </c>
      <c r="J68" s="111">
        <v>24820</v>
      </c>
      <c r="K68" s="111">
        <v>25380</v>
      </c>
      <c r="L68" s="111">
        <v>26460</v>
      </c>
      <c r="M68" s="111">
        <v>27050</v>
      </c>
      <c r="N68" s="111">
        <v>27130</v>
      </c>
      <c r="O68" s="111">
        <v>28480</v>
      </c>
      <c r="P68" s="111">
        <v>28870</v>
      </c>
      <c r="Q68" s="111">
        <v>29790</v>
      </c>
      <c r="R68" s="111">
        <v>30410</v>
      </c>
      <c r="S68" s="111">
        <v>30300</v>
      </c>
      <c r="T68" s="111">
        <v>29970</v>
      </c>
    </row>
    <row r="69" spans="1:20" ht="12.75">
      <c r="A69" s="113" t="s">
        <v>66</v>
      </c>
      <c r="B69" s="11"/>
      <c r="C69" s="111">
        <v>20160</v>
      </c>
      <c r="D69" s="111">
        <v>23850</v>
      </c>
      <c r="E69" s="111">
        <v>23590</v>
      </c>
      <c r="F69" s="111">
        <v>23370</v>
      </c>
      <c r="G69" s="111">
        <v>23570</v>
      </c>
      <c r="H69" s="111">
        <v>23440</v>
      </c>
      <c r="I69" s="111">
        <v>23850</v>
      </c>
      <c r="J69" s="111">
        <v>24000</v>
      </c>
      <c r="K69" s="111">
        <v>24670</v>
      </c>
      <c r="L69" s="111">
        <v>25230</v>
      </c>
      <c r="M69" s="111">
        <v>26310</v>
      </c>
      <c r="N69" s="111">
        <v>26890</v>
      </c>
      <c r="O69" s="111">
        <v>26980</v>
      </c>
      <c r="P69" s="111">
        <v>28320</v>
      </c>
      <c r="Q69" s="111">
        <v>28720</v>
      </c>
      <c r="R69" s="111">
        <v>29630</v>
      </c>
      <c r="S69" s="111">
        <v>30250</v>
      </c>
      <c r="T69" s="111">
        <v>30140</v>
      </c>
    </row>
    <row r="70" spans="1:20" ht="12.75">
      <c r="A70" s="113" t="s">
        <v>67</v>
      </c>
      <c r="B70" s="11"/>
      <c r="C70" s="111">
        <v>19140</v>
      </c>
      <c r="D70" s="111">
        <v>20010</v>
      </c>
      <c r="E70" s="111">
        <v>23670</v>
      </c>
      <c r="F70" s="111">
        <v>23420</v>
      </c>
      <c r="G70" s="111">
        <v>23210</v>
      </c>
      <c r="H70" s="111">
        <v>23410</v>
      </c>
      <c r="I70" s="111">
        <v>23280</v>
      </c>
      <c r="J70" s="111">
        <v>23690</v>
      </c>
      <c r="K70" s="111">
        <v>23850</v>
      </c>
      <c r="L70" s="111">
        <v>24520</v>
      </c>
      <c r="M70" s="111">
        <v>25080</v>
      </c>
      <c r="N70" s="111">
        <v>26150</v>
      </c>
      <c r="O70" s="111">
        <v>26730</v>
      </c>
      <c r="P70" s="111">
        <v>26820</v>
      </c>
      <c r="Q70" s="111">
        <v>28160</v>
      </c>
      <c r="R70" s="111">
        <v>28550</v>
      </c>
      <c r="S70" s="111">
        <v>29470</v>
      </c>
      <c r="T70" s="111">
        <v>30080</v>
      </c>
    </row>
    <row r="71" spans="1:20" ht="12.75">
      <c r="A71" s="113" t="s">
        <v>68</v>
      </c>
      <c r="B71" s="11"/>
      <c r="C71" s="111">
        <v>18400</v>
      </c>
      <c r="D71" s="111">
        <v>19010</v>
      </c>
      <c r="E71" s="111">
        <v>19860</v>
      </c>
      <c r="F71" s="111">
        <v>23490</v>
      </c>
      <c r="G71" s="111">
        <v>23250</v>
      </c>
      <c r="H71" s="111">
        <v>23040</v>
      </c>
      <c r="I71" s="111">
        <v>23240</v>
      </c>
      <c r="J71" s="111">
        <v>23120</v>
      </c>
      <c r="K71" s="111">
        <v>23530</v>
      </c>
      <c r="L71" s="111">
        <v>23690</v>
      </c>
      <c r="M71" s="111">
        <v>24350</v>
      </c>
      <c r="N71" s="111">
        <v>24910</v>
      </c>
      <c r="O71" s="111">
        <v>25980</v>
      </c>
      <c r="P71" s="111">
        <v>26560</v>
      </c>
      <c r="Q71" s="111">
        <v>26650</v>
      </c>
      <c r="R71" s="111">
        <v>27980</v>
      </c>
      <c r="S71" s="111">
        <v>28380</v>
      </c>
      <c r="T71" s="111">
        <v>29290</v>
      </c>
    </row>
    <row r="72" spans="1:20" ht="12.75">
      <c r="A72" s="113" t="s">
        <v>69</v>
      </c>
      <c r="B72" s="11"/>
      <c r="C72" s="111">
        <v>16270</v>
      </c>
      <c r="D72" s="111">
        <v>18250</v>
      </c>
      <c r="E72" s="111">
        <v>18880</v>
      </c>
      <c r="F72" s="111">
        <v>19700</v>
      </c>
      <c r="G72" s="111">
        <v>23310</v>
      </c>
      <c r="H72" s="111">
        <v>23070</v>
      </c>
      <c r="I72" s="111">
        <v>22860</v>
      </c>
      <c r="J72" s="111">
        <v>23060</v>
      </c>
      <c r="K72" s="111">
        <v>22940</v>
      </c>
      <c r="L72" s="111">
        <v>23350</v>
      </c>
      <c r="M72" s="111">
        <v>23520</v>
      </c>
      <c r="N72" s="111">
        <v>24180</v>
      </c>
      <c r="O72" s="111">
        <v>24740</v>
      </c>
      <c r="P72" s="111">
        <v>25800</v>
      </c>
      <c r="Q72" s="111">
        <v>26380</v>
      </c>
      <c r="R72" s="111">
        <v>26470</v>
      </c>
      <c r="S72" s="111">
        <v>27800</v>
      </c>
      <c r="T72" s="111">
        <v>28190</v>
      </c>
    </row>
    <row r="73" spans="1:20" ht="12.75">
      <c r="A73" s="113" t="s">
        <v>70</v>
      </c>
      <c r="B73" s="11"/>
      <c r="C73" s="111">
        <v>17930</v>
      </c>
      <c r="D73" s="111">
        <v>16110</v>
      </c>
      <c r="E73" s="111">
        <v>18100</v>
      </c>
      <c r="F73" s="111">
        <v>18710</v>
      </c>
      <c r="G73" s="111">
        <v>19530</v>
      </c>
      <c r="H73" s="111">
        <v>23100</v>
      </c>
      <c r="I73" s="111">
        <v>22870</v>
      </c>
      <c r="J73" s="111">
        <v>22670</v>
      </c>
      <c r="K73" s="111">
        <v>22870</v>
      </c>
      <c r="L73" s="111">
        <v>22760</v>
      </c>
      <c r="M73" s="111">
        <v>23170</v>
      </c>
      <c r="N73" s="111">
        <v>23330</v>
      </c>
      <c r="O73" s="111">
        <v>23990</v>
      </c>
      <c r="P73" s="111">
        <v>24550</v>
      </c>
      <c r="Q73" s="111">
        <v>25600</v>
      </c>
      <c r="R73" s="111">
        <v>26180</v>
      </c>
      <c r="S73" s="111">
        <v>26280</v>
      </c>
      <c r="T73" s="111">
        <v>27600</v>
      </c>
    </row>
    <row r="74" spans="1:20" ht="12.75">
      <c r="A74" s="113" t="s">
        <v>71</v>
      </c>
      <c r="B74" s="11"/>
      <c r="C74" s="111">
        <v>17660</v>
      </c>
      <c r="D74" s="111">
        <v>17770</v>
      </c>
      <c r="E74" s="111">
        <v>15970</v>
      </c>
      <c r="F74" s="111">
        <v>17930</v>
      </c>
      <c r="G74" s="111">
        <v>18530</v>
      </c>
      <c r="H74" s="111">
        <v>19350</v>
      </c>
      <c r="I74" s="111">
        <v>22880</v>
      </c>
      <c r="J74" s="111">
        <v>22650</v>
      </c>
      <c r="K74" s="111">
        <v>22460</v>
      </c>
      <c r="L74" s="111">
        <v>22670</v>
      </c>
      <c r="M74" s="111">
        <v>22550</v>
      </c>
      <c r="N74" s="111">
        <v>22970</v>
      </c>
      <c r="O74" s="111">
        <v>23130</v>
      </c>
      <c r="P74" s="111">
        <v>23790</v>
      </c>
      <c r="Q74" s="111">
        <v>24350</v>
      </c>
      <c r="R74" s="111">
        <v>25390</v>
      </c>
      <c r="S74" s="111">
        <v>25970</v>
      </c>
      <c r="T74" s="111">
        <v>26070</v>
      </c>
    </row>
    <row r="75" spans="1:20" ht="12.75">
      <c r="A75" s="113" t="s">
        <v>72</v>
      </c>
      <c r="B75" s="11"/>
      <c r="C75" s="111">
        <v>16280</v>
      </c>
      <c r="D75" s="111">
        <v>17460</v>
      </c>
      <c r="E75" s="111">
        <v>17570</v>
      </c>
      <c r="F75" s="111">
        <v>15800</v>
      </c>
      <c r="G75" s="111">
        <v>17740</v>
      </c>
      <c r="H75" s="111">
        <v>18340</v>
      </c>
      <c r="I75" s="111">
        <v>19140</v>
      </c>
      <c r="J75" s="111">
        <v>22640</v>
      </c>
      <c r="K75" s="111">
        <v>22420</v>
      </c>
      <c r="L75" s="111">
        <v>22230</v>
      </c>
      <c r="M75" s="111">
        <v>22440</v>
      </c>
      <c r="N75" s="111">
        <v>22340</v>
      </c>
      <c r="O75" s="111">
        <v>22750</v>
      </c>
      <c r="P75" s="111">
        <v>22920</v>
      </c>
      <c r="Q75" s="111">
        <v>23570</v>
      </c>
      <c r="R75" s="111">
        <v>24130</v>
      </c>
      <c r="S75" s="111">
        <v>25170</v>
      </c>
      <c r="T75" s="111">
        <v>25740</v>
      </c>
    </row>
    <row r="76" spans="1:20" ht="12.75">
      <c r="A76" s="113" t="s">
        <v>73</v>
      </c>
      <c r="B76" s="11"/>
      <c r="C76" s="111">
        <v>14490</v>
      </c>
      <c r="D76" s="111">
        <v>16090</v>
      </c>
      <c r="E76" s="111">
        <v>17250</v>
      </c>
      <c r="F76" s="111">
        <v>17360</v>
      </c>
      <c r="G76" s="111">
        <v>15620</v>
      </c>
      <c r="H76" s="111">
        <v>17530</v>
      </c>
      <c r="I76" s="111">
        <v>18120</v>
      </c>
      <c r="J76" s="111">
        <v>18920</v>
      </c>
      <c r="K76" s="111">
        <v>22380</v>
      </c>
      <c r="L76" s="111">
        <v>22170</v>
      </c>
      <c r="M76" s="111">
        <v>21990</v>
      </c>
      <c r="N76" s="111">
        <v>22200</v>
      </c>
      <c r="O76" s="111">
        <v>22100</v>
      </c>
      <c r="P76" s="111">
        <v>22510</v>
      </c>
      <c r="Q76" s="111">
        <v>22680</v>
      </c>
      <c r="R76" s="111">
        <v>23340</v>
      </c>
      <c r="S76" s="111">
        <v>23890</v>
      </c>
      <c r="T76" s="111">
        <v>24920</v>
      </c>
    </row>
    <row r="77" spans="1:20" ht="12.75">
      <c r="A77" s="113" t="s">
        <v>74</v>
      </c>
      <c r="B77" s="11"/>
      <c r="C77" s="111">
        <v>13990</v>
      </c>
      <c r="D77" s="111">
        <v>14300</v>
      </c>
      <c r="E77" s="111">
        <v>15860</v>
      </c>
      <c r="F77" s="111">
        <v>17010</v>
      </c>
      <c r="G77" s="111">
        <v>17130</v>
      </c>
      <c r="H77" s="111">
        <v>15410</v>
      </c>
      <c r="I77" s="111">
        <v>17300</v>
      </c>
      <c r="J77" s="111">
        <v>17890</v>
      </c>
      <c r="K77" s="111">
        <v>18690</v>
      </c>
      <c r="L77" s="111">
        <v>22090</v>
      </c>
      <c r="M77" s="111">
        <v>21890</v>
      </c>
      <c r="N77" s="111">
        <v>21720</v>
      </c>
      <c r="O77" s="111">
        <v>21940</v>
      </c>
      <c r="P77" s="111">
        <v>21840</v>
      </c>
      <c r="Q77" s="111">
        <v>22250</v>
      </c>
      <c r="R77" s="111">
        <v>22430</v>
      </c>
      <c r="S77" s="111">
        <v>23080</v>
      </c>
      <c r="T77" s="111">
        <v>23630</v>
      </c>
    </row>
    <row r="78" spans="1:20" ht="12.75">
      <c r="A78" s="113" t="s">
        <v>75</v>
      </c>
      <c r="B78" s="11"/>
      <c r="C78" s="111">
        <v>13200</v>
      </c>
      <c r="D78" s="111">
        <v>13790</v>
      </c>
      <c r="E78" s="111">
        <v>14070</v>
      </c>
      <c r="F78" s="111">
        <v>15610</v>
      </c>
      <c r="G78" s="111">
        <v>16760</v>
      </c>
      <c r="H78" s="111">
        <v>16870</v>
      </c>
      <c r="I78" s="111">
        <v>15190</v>
      </c>
      <c r="J78" s="111">
        <v>17050</v>
      </c>
      <c r="K78" s="111">
        <v>17640</v>
      </c>
      <c r="L78" s="111">
        <v>18430</v>
      </c>
      <c r="M78" s="111">
        <v>21790</v>
      </c>
      <c r="N78" s="111">
        <v>21590</v>
      </c>
      <c r="O78" s="111">
        <v>21430</v>
      </c>
      <c r="P78" s="111">
        <v>21650</v>
      </c>
      <c r="Q78" s="111">
        <v>21560</v>
      </c>
      <c r="R78" s="111">
        <v>21970</v>
      </c>
      <c r="S78" s="111">
        <v>22150</v>
      </c>
      <c r="T78" s="111">
        <v>22790</v>
      </c>
    </row>
    <row r="79" spans="1:20" ht="12.75">
      <c r="A79" s="113" t="s">
        <v>76</v>
      </c>
      <c r="B79" s="11"/>
      <c r="C79" s="111">
        <v>12400</v>
      </c>
      <c r="D79" s="111">
        <v>12950</v>
      </c>
      <c r="E79" s="111">
        <v>13570</v>
      </c>
      <c r="F79" s="111">
        <v>13830</v>
      </c>
      <c r="G79" s="111">
        <v>15350</v>
      </c>
      <c r="H79" s="111">
        <v>16480</v>
      </c>
      <c r="I79" s="111">
        <v>16590</v>
      </c>
      <c r="J79" s="111">
        <v>14950</v>
      </c>
      <c r="K79" s="111">
        <v>16780</v>
      </c>
      <c r="L79" s="111">
        <v>17370</v>
      </c>
      <c r="M79" s="111">
        <v>18140</v>
      </c>
      <c r="N79" s="111">
        <v>21450</v>
      </c>
      <c r="O79" s="111">
        <v>21270</v>
      </c>
      <c r="P79" s="111">
        <v>21120</v>
      </c>
      <c r="Q79" s="111">
        <v>21340</v>
      </c>
      <c r="R79" s="111">
        <v>21260</v>
      </c>
      <c r="S79" s="111">
        <v>21660</v>
      </c>
      <c r="T79" s="111">
        <v>21840</v>
      </c>
    </row>
    <row r="80" spans="1:20" ht="12.75">
      <c r="A80" s="113" t="s">
        <v>77</v>
      </c>
      <c r="B80" s="11"/>
      <c r="C80" s="111">
        <v>11940</v>
      </c>
      <c r="D80" s="111">
        <v>12130</v>
      </c>
      <c r="E80" s="111">
        <v>12680</v>
      </c>
      <c r="F80" s="111">
        <v>13300</v>
      </c>
      <c r="G80" s="111">
        <v>13570</v>
      </c>
      <c r="H80" s="111">
        <v>15060</v>
      </c>
      <c r="I80" s="111">
        <v>16170</v>
      </c>
      <c r="J80" s="111">
        <v>16290</v>
      </c>
      <c r="K80" s="111">
        <v>14680</v>
      </c>
      <c r="L80" s="111">
        <v>16490</v>
      </c>
      <c r="M80" s="111">
        <v>17070</v>
      </c>
      <c r="N80" s="111">
        <v>17840</v>
      </c>
      <c r="O80" s="111">
        <v>21090</v>
      </c>
      <c r="P80" s="111">
        <v>20920</v>
      </c>
      <c r="Q80" s="111">
        <v>20770</v>
      </c>
      <c r="R80" s="111">
        <v>20990</v>
      </c>
      <c r="S80" s="111">
        <v>20920</v>
      </c>
      <c r="T80" s="111">
        <v>21330</v>
      </c>
    </row>
    <row r="81" spans="1:20" ht="12.75">
      <c r="A81" s="113" t="s">
        <v>78</v>
      </c>
      <c r="B81" s="11"/>
      <c r="C81" s="111">
        <v>11370</v>
      </c>
      <c r="D81" s="111">
        <v>11680</v>
      </c>
      <c r="E81" s="111">
        <v>11880</v>
      </c>
      <c r="F81" s="111">
        <v>12410</v>
      </c>
      <c r="G81" s="111">
        <v>13020</v>
      </c>
      <c r="H81" s="111">
        <v>13290</v>
      </c>
      <c r="I81" s="111">
        <v>14750</v>
      </c>
      <c r="J81" s="111">
        <v>15840</v>
      </c>
      <c r="K81" s="111">
        <v>15960</v>
      </c>
      <c r="L81" s="111">
        <v>14400</v>
      </c>
      <c r="M81" s="111">
        <v>16170</v>
      </c>
      <c r="N81" s="111">
        <v>16740</v>
      </c>
      <c r="O81" s="111">
        <v>17500</v>
      </c>
      <c r="P81" s="111">
        <v>20700</v>
      </c>
      <c r="Q81" s="111">
        <v>20530</v>
      </c>
      <c r="R81" s="111">
        <v>20400</v>
      </c>
      <c r="S81" s="111">
        <v>20620</v>
      </c>
      <c r="T81" s="111">
        <v>20560</v>
      </c>
    </row>
    <row r="82" spans="1:20" ht="12.75">
      <c r="A82" s="113" t="s">
        <v>79</v>
      </c>
      <c r="B82" s="11"/>
      <c r="C82" s="111">
        <v>10890</v>
      </c>
      <c r="D82" s="111">
        <v>11050</v>
      </c>
      <c r="E82" s="111">
        <v>11410</v>
      </c>
      <c r="F82" s="111">
        <v>11590</v>
      </c>
      <c r="G82" s="111">
        <v>12110</v>
      </c>
      <c r="H82" s="111">
        <v>12710</v>
      </c>
      <c r="I82" s="111">
        <v>12980</v>
      </c>
      <c r="J82" s="111">
        <v>14410</v>
      </c>
      <c r="K82" s="111">
        <v>15480</v>
      </c>
      <c r="L82" s="111">
        <v>15610</v>
      </c>
      <c r="M82" s="111">
        <v>14090</v>
      </c>
      <c r="N82" s="111">
        <v>15820</v>
      </c>
      <c r="O82" s="111">
        <v>16390</v>
      </c>
      <c r="P82" s="111">
        <v>17140</v>
      </c>
      <c r="Q82" s="111">
        <v>20270</v>
      </c>
      <c r="R82" s="111">
        <v>20120</v>
      </c>
      <c r="S82" s="111">
        <v>19990</v>
      </c>
      <c r="T82" s="111">
        <v>20220</v>
      </c>
    </row>
    <row r="83" spans="1:20" ht="12.75">
      <c r="A83" s="113" t="s">
        <v>80</v>
      </c>
      <c r="B83" s="11"/>
      <c r="C83" s="111">
        <v>10790</v>
      </c>
      <c r="D83" s="111">
        <v>10560</v>
      </c>
      <c r="E83" s="111">
        <v>10750</v>
      </c>
      <c r="F83" s="111">
        <v>11100</v>
      </c>
      <c r="G83" s="111">
        <v>11280</v>
      </c>
      <c r="H83" s="111">
        <v>11790</v>
      </c>
      <c r="I83" s="111">
        <v>12380</v>
      </c>
      <c r="J83" s="111">
        <v>12650</v>
      </c>
      <c r="K83" s="111">
        <v>14050</v>
      </c>
      <c r="L83" s="111">
        <v>15100</v>
      </c>
      <c r="M83" s="111">
        <v>15230</v>
      </c>
      <c r="N83" s="111">
        <v>13750</v>
      </c>
      <c r="O83" s="111">
        <v>15450</v>
      </c>
      <c r="P83" s="111">
        <v>16010</v>
      </c>
      <c r="Q83" s="111">
        <v>16750</v>
      </c>
      <c r="R83" s="111">
        <v>19820</v>
      </c>
      <c r="S83" s="111">
        <v>19670</v>
      </c>
      <c r="T83" s="111">
        <v>19560</v>
      </c>
    </row>
    <row r="84" spans="1:20" ht="12.75">
      <c r="A84" s="113" t="s">
        <v>81</v>
      </c>
      <c r="B84" s="11"/>
      <c r="C84" s="111">
        <v>10770</v>
      </c>
      <c r="D84" s="111">
        <v>10470</v>
      </c>
      <c r="E84" s="111">
        <v>10240</v>
      </c>
      <c r="F84" s="111">
        <v>10410</v>
      </c>
      <c r="G84" s="111">
        <v>10760</v>
      </c>
      <c r="H84" s="111">
        <v>10950</v>
      </c>
      <c r="I84" s="111">
        <v>11440</v>
      </c>
      <c r="J84" s="111">
        <v>12020</v>
      </c>
      <c r="K84" s="111">
        <v>12290</v>
      </c>
      <c r="L84" s="111">
        <v>13660</v>
      </c>
      <c r="M84" s="111">
        <v>14680</v>
      </c>
      <c r="N84" s="111">
        <v>14820</v>
      </c>
      <c r="O84" s="111">
        <v>13390</v>
      </c>
      <c r="P84" s="111">
        <v>15050</v>
      </c>
      <c r="Q84" s="111">
        <v>15600</v>
      </c>
      <c r="R84" s="111">
        <v>16330</v>
      </c>
      <c r="S84" s="111">
        <v>19320</v>
      </c>
      <c r="T84" s="111">
        <v>19190</v>
      </c>
    </row>
    <row r="85" spans="1:20" ht="12.75">
      <c r="A85" s="113" t="s">
        <v>82</v>
      </c>
      <c r="B85" s="11"/>
      <c r="C85" s="111">
        <v>10040</v>
      </c>
      <c r="D85" s="111">
        <v>10400</v>
      </c>
      <c r="E85" s="111">
        <v>10120</v>
      </c>
      <c r="F85" s="111">
        <v>9880</v>
      </c>
      <c r="G85" s="111">
        <v>10050</v>
      </c>
      <c r="H85" s="111">
        <v>10400</v>
      </c>
      <c r="I85" s="111">
        <v>10590</v>
      </c>
      <c r="J85" s="111">
        <v>11080</v>
      </c>
      <c r="K85" s="111">
        <v>11640</v>
      </c>
      <c r="L85" s="111">
        <v>11910</v>
      </c>
      <c r="M85" s="111">
        <v>13240</v>
      </c>
      <c r="N85" s="111">
        <v>14240</v>
      </c>
      <c r="O85" s="111">
        <v>14380</v>
      </c>
      <c r="P85" s="111">
        <v>13000</v>
      </c>
      <c r="Q85" s="111">
        <v>14620</v>
      </c>
      <c r="R85" s="111">
        <v>15160</v>
      </c>
      <c r="S85" s="111">
        <v>15870</v>
      </c>
      <c r="T85" s="111">
        <v>18790</v>
      </c>
    </row>
    <row r="86" spans="1:20" ht="12.75">
      <c r="A86" s="113" t="s">
        <v>83</v>
      </c>
      <c r="B86" s="11"/>
      <c r="C86" s="111">
        <v>9480</v>
      </c>
      <c r="D86" s="111">
        <v>9630</v>
      </c>
      <c r="E86" s="111">
        <v>10000</v>
      </c>
      <c r="F86" s="111">
        <v>9730</v>
      </c>
      <c r="G86" s="111">
        <v>9510</v>
      </c>
      <c r="H86" s="111">
        <v>9680</v>
      </c>
      <c r="I86" s="111">
        <v>10030</v>
      </c>
      <c r="J86" s="111">
        <v>10210</v>
      </c>
      <c r="K86" s="111">
        <v>10690</v>
      </c>
      <c r="L86" s="111">
        <v>11240</v>
      </c>
      <c r="M86" s="111">
        <v>11510</v>
      </c>
      <c r="N86" s="111">
        <v>12800</v>
      </c>
      <c r="O86" s="111">
        <v>13770</v>
      </c>
      <c r="P86" s="111">
        <v>13920</v>
      </c>
      <c r="Q86" s="111">
        <v>12590</v>
      </c>
      <c r="R86" s="111">
        <v>14160</v>
      </c>
      <c r="S86" s="111">
        <v>14700</v>
      </c>
      <c r="T86" s="111">
        <v>15390</v>
      </c>
    </row>
    <row r="87" spans="1:20" ht="12.75">
      <c r="A87" s="113" t="s">
        <v>84</v>
      </c>
      <c r="B87" s="11"/>
      <c r="C87" s="111">
        <v>9060</v>
      </c>
      <c r="D87" s="111">
        <v>9070</v>
      </c>
      <c r="E87" s="111">
        <v>9190</v>
      </c>
      <c r="F87" s="111">
        <v>9580</v>
      </c>
      <c r="G87" s="111">
        <v>9320</v>
      </c>
      <c r="H87" s="111">
        <v>9120</v>
      </c>
      <c r="I87" s="111">
        <v>9290</v>
      </c>
      <c r="J87" s="111">
        <v>9630</v>
      </c>
      <c r="K87" s="111">
        <v>9810</v>
      </c>
      <c r="L87" s="111">
        <v>10280</v>
      </c>
      <c r="M87" s="111">
        <v>10820</v>
      </c>
      <c r="N87" s="111">
        <v>11080</v>
      </c>
      <c r="O87" s="111">
        <v>12330</v>
      </c>
      <c r="P87" s="111">
        <v>13280</v>
      </c>
      <c r="Q87" s="111">
        <v>13430</v>
      </c>
      <c r="R87" s="111">
        <v>12150</v>
      </c>
      <c r="S87" s="111">
        <v>13680</v>
      </c>
      <c r="T87" s="111">
        <v>14200</v>
      </c>
    </row>
    <row r="88" spans="1:20" ht="12.75">
      <c r="A88" s="113" t="s">
        <v>85</v>
      </c>
      <c r="B88" s="11"/>
      <c r="C88" s="111">
        <v>8220</v>
      </c>
      <c r="D88" s="111">
        <v>8570</v>
      </c>
      <c r="E88" s="111">
        <v>8640</v>
      </c>
      <c r="F88" s="111">
        <v>8760</v>
      </c>
      <c r="G88" s="111">
        <v>9130</v>
      </c>
      <c r="H88" s="111">
        <v>8890</v>
      </c>
      <c r="I88" s="111">
        <v>8710</v>
      </c>
      <c r="J88" s="111">
        <v>8880</v>
      </c>
      <c r="K88" s="111">
        <v>9210</v>
      </c>
      <c r="L88" s="111">
        <v>9390</v>
      </c>
      <c r="M88" s="111">
        <v>9850</v>
      </c>
      <c r="N88" s="111">
        <v>10370</v>
      </c>
      <c r="O88" s="111">
        <v>10630</v>
      </c>
      <c r="P88" s="111">
        <v>11840</v>
      </c>
      <c r="Q88" s="111">
        <v>12760</v>
      </c>
      <c r="R88" s="111">
        <v>12910</v>
      </c>
      <c r="S88" s="111">
        <v>11690</v>
      </c>
      <c r="T88" s="111">
        <v>13160</v>
      </c>
    </row>
    <row r="89" spans="1:20" ht="12.75">
      <c r="A89" s="113" t="s">
        <v>86</v>
      </c>
      <c r="B89" s="11"/>
      <c r="C89" s="111">
        <v>7520</v>
      </c>
      <c r="D89" s="111">
        <v>7770</v>
      </c>
      <c r="E89" s="111">
        <v>8050</v>
      </c>
      <c r="F89" s="111">
        <v>8180</v>
      </c>
      <c r="G89" s="111">
        <v>8300</v>
      </c>
      <c r="H89" s="111">
        <v>8660</v>
      </c>
      <c r="I89" s="111">
        <v>8450</v>
      </c>
      <c r="J89" s="111">
        <v>8280</v>
      </c>
      <c r="K89" s="111">
        <v>8450</v>
      </c>
      <c r="L89" s="111">
        <v>8770</v>
      </c>
      <c r="M89" s="111">
        <v>8950</v>
      </c>
      <c r="N89" s="111">
        <v>9390</v>
      </c>
      <c r="O89" s="111">
        <v>9900</v>
      </c>
      <c r="P89" s="111">
        <v>10160</v>
      </c>
      <c r="Q89" s="111">
        <v>11320</v>
      </c>
      <c r="R89" s="111">
        <v>12200</v>
      </c>
      <c r="S89" s="111">
        <v>12360</v>
      </c>
      <c r="T89" s="111">
        <v>11200</v>
      </c>
    </row>
    <row r="90" spans="1:20" ht="12.75">
      <c r="A90" s="113" t="s">
        <v>87</v>
      </c>
      <c r="B90" s="11"/>
      <c r="C90" s="111">
        <v>6900</v>
      </c>
      <c r="D90" s="111">
        <v>7020</v>
      </c>
      <c r="E90" s="111">
        <v>7250</v>
      </c>
      <c r="F90" s="111">
        <v>7580</v>
      </c>
      <c r="G90" s="111">
        <v>7700</v>
      </c>
      <c r="H90" s="111">
        <v>7820</v>
      </c>
      <c r="I90" s="111">
        <v>8170</v>
      </c>
      <c r="J90" s="111">
        <v>7980</v>
      </c>
      <c r="K90" s="111">
        <v>7830</v>
      </c>
      <c r="L90" s="111">
        <v>8000</v>
      </c>
      <c r="M90" s="111">
        <v>8310</v>
      </c>
      <c r="N90" s="111">
        <v>8490</v>
      </c>
      <c r="O90" s="111">
        <v>8920</v>
      </c>
      <c r="P90" s="111">
        <v>9410</v>
      </c>
      <c r="Q90" s="111">
        <v>9660</v>
      </c>
      <c r="R90" s="111">
        <v>10770</v>
      </c>
      <c r="S90" s="111">
        <v>11630</v>
      </c>
      <c r="T90" s="111">
        <v>11780</v>
      </c>
    </row>
    <row r="91" spans="1:20" ht="12.75">
      <c r="A91" s="113" t="s">
        <v>88</v>
      </c>
      <c r="B91" s="11"/>
      <c r="C91" s="111">
        <v>5900</v>
      </c>
      <c r="D91" s="111">
        <v>6440</v>
      </c>
      <c r="E91" s="111">
        <v>6520</v>
      </c>
      <c r="F91" s="111">
        <v>6770</v>
      </c>
      <c r="G91" s="111">
        <v>7080</v>
      </c>
      <c r="H91" s="111">
        <v>7210</v>
      </c>
      <c r="I91" s="111">
        <v>7330</v>
      </c>
      <c r="J91" s="111">
        <v>7670</v>
      </c>
      <c r="K91" s="111">
        <v>7500</v>
      </c>
      <c r="L91" s="111">
        <v>7360</v>
      </c>
      <c r="M91" s="111">
        <v>7530</v>
      </c>
      <c r="N91" s="111">
        <v>7840</v>
      </c>
      <c r="O91" s="111">
        <v>8010</v>
      </c>
      <c r="P91" s="111">
        <v>8420</v>
      </c>
      <c r="Q91" s="111">
        <v>8900</v>
      </c>
      <c r="R91" s="111">
        <v>9140</v>
      </c>
      <c r="S91" s="111">
        <v>10200</v>
      </c>
      <c r="T91" s="111">
        <v>11020</v>
      </c>
    </row>
    <row r="92" spans="1:20" ht="12.75">
      <c r="A92" s="113" t="s">
        <v>89</v>
      </c>
      <c r="B92" s="11"/>
      <c r="C92" s="111">
        <v>5210</v>
      </c>
      <c r="D92" s="111">
        <v>5470</v>
      </c>
      <c r="E92" s="111">
        <v>5890</v>
      </c>
      <c r="F92" s="111">
        <v>6030</v>
      </c>
      <c r="G92" s="111">
        <v>6280</v>
      </c>
      <c r="H92" s="111">
        <v>6570</v>
      </c>
      <c r="I92" s="111">
        <v>6700</v>
      </c>
      <c r="J92" s="111">
        <v>6820</v>
      </c>
      <c r="K92" s="111">
        <v>7150</v>
      </c>
      <c r="L92" s="111">
        <v>7000</v>
      </c>
      <c r="M92" s="111">
        <v>6880</v>
      </c>
      <c r="N92" s="111">
        <v>7050</v>
      </c>
      <c r="O92" s="111">
        <v>7340</v>
      </c>
      <c r="P92" s="111">
        <v>7520</v>
      </c>
      <c r="Q92" s="111">
        <v>7910</v>
      </c>
      <c r="R92" s="111">
        <v>8360</v>
      </c>
      <c r="S92" s="111">
        <v>8600</v>
      </c>
      <c r="T92" s="111">
        <v>9610</v>
      </c>
    </row>
    <row r="93" spans="1:20" ht="12.75">
      <c r="A93" s="113" t="s">
        <v>90</v>
      </c>
      <c r="B93" s="11"/>
      <c r="C93" s="111">
        <v>4650</v>
      </c>
      <c r="D93" s="111">
        <v>4740</v>
      </c>
      <c r="E93" s="111">
        <v>5010</v>
      </c>
      <c r="F93" s="111">
        <v>5400</v>
      </c>
      <c r="G93" s="111">
        <v>5540</v>
      </c>
      <c r="H93" s="111">
        <v>5770</v>
      </c>
      <c r="I93" s="111">
        <v>6060</v>
      </c>
      <c r="J93" s="111">
        <v>6180</v>
      </c>
      <c r="K93" s="111">
        <v>6310</v>
      </c>
      <c r="L93" s="111">
        <v>6610</v>
      </c>
      <c r="M93" s="111">
        <v>6490</v>
      </c>
      <c r="N93" s="111">
        <v>6390</v>
      </c>
      <c r="O93" s="111">
        <v>6550</v>
      </c>
      <c r="P93" s="111">
        <v>6830</v>
      </c>
      <c r="Q93" s="111">
        <v>7000</v>
      </c>
      <c r="R93" s="111">
        <v>7380</v>
      </c>
      <c r="S93" s="111">
        <v>7810</v>
      </c>
      <c r="T93" s="111">
        <v>8040</v>
      </c>
    </row>
    <row r="94" spans="1:20" ht="12.75">
      <c r="A94" s="113" t="s">
        <v>91</v>
      </c>
      <c r="B94" s="11"/>
      <c r="C94" s="111">
        <v>3850</v>
      </c>
      <c r="D94" s="111">
        <v>4160</v>
      </c>
      <c r="E94" s="111">
        <v>4280</v>
      </c>
      <c r="F94" s="111">
        <v>4540</v>
      </c>
      <c r="G94" s="111">
        <v>4900</v>
      </c>
      <c r="H94" s="111">
        <v>5040</v>
      </c>
      <c r="I94" s="111">
        <v>5260</v>
      </c>
      <c r="J94" s="111">
        <v>5530</v>
      </c>
      <c r="K94" s="111">
        <v>5650</v>
      </c>
      <c r="L94" s="111">
        <v>5780</v>
      </c>
      <c r="M94" s="111">
        <v>6070</v>
      </c>
      <c r="N94" s="111">
        <v>5960</v>
      </c>
      <c r="O94" s="111">
        <v>5880</v>
      </c>
      <c r="P94" s="111">
        <v>6040</v>
      </c>
      <c r="Q94" s="111">
        <v>6300</v>
      </c>
      <c r="R94" s="111">
        <v>6470</v>
      </c>
      <c r="S94" s="111">
        <v>6830</v>
      </c>
      <c r="T94" s="111">
        <v>7230</v>
      </c>
    </row>
    <row r="95" spans="1:20" ht="12.75">
      <c r="A95" s="113" t="s">
        <v>92</v>
      </c>
      <c r="B95" s="11"/>
      <c r="C95" s="111">
        <v>3290</v>
      </c>
      <c r="D95" s="111">
        <v>3440</v>
      </c>
      <c r="E95" s="111">
        <v>3680</v>
      </c>
      <c r="F95" s="111">
        <v>3830</v>
      </c>
      <c r="G95" s="111">
        <v>4070</v>
      </c>
      <c r="H95" s="111">
        <v>4400</v>
      </c>
      <c r="I95" s="111">
        <v>4530</v>
      </c>
      <c r="J95" s="111">
        <v>4750</v>
      </c>
      <c r="K95" s="111">
        <v>5000</v>
      </c>
      <c r="L95" s="111">
        <v>5120</v>
      </c>
      <c r="M95" s="111">
        <v>5240</v>
      </c>
      <c r="N95" s="111">
        <v>5520</v>
      </c>
      <c r="O95" s="111">
        <v>5430</v>
      </c>
      <c r="P95" s="111">
        <v>5360</v>
      </c>
      <c r="Q95" s="111">
        <v>5520</v>
      </c>
      <c r="R95" s="111">
        <v>5770</v>
      </c>
      <c r="S95" s="111">
        <v>5930</v>
      </c>
      <c r="T95" s="111">
        <v>6260</v>
      </c>
    </row>
    <row r="96" spans="1:20" ht="12.75">
      <c r="A96" s="113" t="s">
        <v>93</v>
      </c>
      <c r="B96" s="11"/>
      <c r="C96" s="111">
        <v>2380</v>
      </c>
      <c r="D96" s="111">
        <v>2870</v>
      </c>
      <c r="E96" s="111">
        <v>3020</v>
      </c>
      <c r="F96" s="111">
        <v>3250</v>
      </c>
      <c r="G96" s="111">
        <v>3390</v>
      </c>
      <c r="H96" s="111">
        <v>3600</v>
      </c>
      <c r="I96" s="111">
        <v>3910</v>
      </c>
      <c r="J96" s="111">
        <v>4040</v>
      </c>
      <c r="K96" s="111">
        <v>4240</v>
      </c>
      <c r="L96" s="111">
        <v>4470</v>
      </c>
      <c r="M96" s="111">
        <v>4590</v>
      </c>
      <c r="N96" s="111">
        <v>4710</v>
      </c>
      <c r="O96" s="111">
        <v>4960</v>
      </c>
      <c r="P96" s="111">
        <v>4890</v>
      </c>
      <c r="Q96" s="111">
        <v>4840</v>
      </c>
      <c r="R96" s="111">
        <v>4990</v>
      </c>
      <c r="S96" s="111">
        <v>5230</v>
      </c>
      <c r="T96" s="111">
        <v>5380</v>
      </c>
    </row>
    <row r="97" spans="1:20" ht="12.75">
      <c r="A97" s="113" t="s">
        <v>94</v>
      </c>
      <c r="B97" s="11"/>
      <c r="C97" s="111">
        <v>1930</v>
      </c>
      <c r="D97" s="111">
        <v>2040</v>
      </c>
      <c r="E97" s="111">
        <v>2490</v>
      </c>
      <c r="F97" s="111">
        <v>2620</v>
      </c>
      <c r="G97" s="111">
        <v>2830</v>
      </c>
      <c r="H97" s="111">
        <v>2960</v>
      </c>
      <c r="I97" s="111">
        <v>3150</v>
      </c>
      <c r="J97" s="111">
        <v>3430</v>
      </c>
      <c r="K97" s="111">
        <v>3550</v>
      </c>
      <c r="L97" s="111">
        <v>3740</v>
      </c>
      <c r="M97" s="111">
        <v>3950</v>
      </c>
      <c r="N97" s="111">
        <v>4070</v>
      </c>
      <c r="O97" s="111">
        <v>4180</v>
      </c>
      <c r="P97" s="111">
        <v>4420</v>
      </c>
      <c r="Q97" s="111">
        <v>4360</v>
      </c>
      <c r="R97" s="111">
        <v>4330</v>
      </c>
      <c r="S97" s="111">
        <v>4470</v>
      </c>
      <c r="T97" s="111">
        <v>4690</v>
      </c>
    </row>
    <row r="98" spans="1:20" ht="12.75">
      <c r="A98" s="113" t="s">
        <v>95</v>
      </c>
      <c r="B98" s="11"/>
      <c r="C98" s="111">
        <v>1720</v>
      </c>
      <c r="D98" s="111">
        <v>1630</v>
      </c>
      <c r="E98" s="111">
        <v>1740</v>
      </c>
      <c r="F98" s="111">
        <v>2130</v>
      </c>
      <c r="G98" s="111">
        <v>2240</v>
      </c>
      <c r="H98" s="111">
        <v>2430</v>
      </c>
      <c r="I98" s="111">
        <v>2550</v>
      </c>
      <c r="J98" s="111">
        <v>2720</v>
      </c>
      <c r="K98" s="111">
        <v>2970</v>
      </c>
      <c r="L98" s="111">
        <v>3090</v>
      </c>
      <c r="M98" s="111">
        <v>3250</v>
      </c>
      <c r="N98" s="111">
        <v>3450</v>
      </c>
      <c r="O98" s="111">
        <v>3560</v>
      </c>
      <c r="P98" s="111">
        <v>3670</v>
      </c>
      <c r="Q98" s="111">
        <v>3890</v>
      </c>
      <c r="R98" s="111">
        <v>3850</v>
      </c>
      <c r="S98" s="111">
        <v>3820</v>
      </c>
      <c r="T98" s="111">
        <v>3950</v>
      </c>
    </row>
    <row r="99" spans="1:20" ht="12.75">
      <c r="A99" s="113" t="s">
        <v>96</v>
      </c>
      <c r="B99" s="11"/>
      <c r="C99" s="111">
        <v>5020</v>
      </c>
      <c r="D99" s="111">
        <v>5330</v>
      </c>
      <c r="E99" s="111">
        <v>5570</v>
      </c>
      <c r="F99" s="111">
        <v>5810</v>
      </c>
      <c r="G99" s="111">
        <v>6350</v>
      </c>
      <c r="H99" s="111">
        <v>6910</v>
      </c>
      <c r="I99" s="111">
        <v>7550</v>
      </c>
      <c r="J99" s="111">
        <v>8200</v>
      </c>
      <c r="K99" s="111">
        <v>8900</v>
      </c>
      <c r="L99" s="111">
        <v>9720</v>
      </c>
      <c r="M99" s="111">
        <v>10510</v>
      </c>
      <c r="N99" s="111">
        <v>11320</v>
      </c>
      <c r="O99" s="111">
        <v>12190</v>
      </c>
      <c r="P99" s="111">
        <v>13030</v>
      </c>
      <c r="Q99" s="111">
        <v>13850</v>
      </c>
      <c r="R99" s="111">
        <v>14740</v>
      </c>
      <c r="S99" s="111">
        <v>15470</v>
      </c>
      <c r="T99" s="111">
        <v>16080</v>
      </c>
    </row>
    <row r="100" spans="1:20" ht="12.75">
      <c r="A100" s="112" t="s">
        <v>98</v>
      </c>
      <c r="B100" s="11"/>
      <c r="C100" s="197">
        <f aca="true" t="shared" si="1" ref="C100:T100">SUM(C$9:C$99)/1000000</f>
        <v>2.04838</v>
      </c>
      <c r="D100" s="197">
        <f t="shared" si="1"/>
        <v>2.0707</v>
      </c>
      <c r="E100" s="197">
        <f t="shared" si="1"/>
        <v>2.09198</v>
      </c>
      <c r="F100" s="197">
        <f t="shared" si="1"/>
        <v>2.11538</v>
      </c>
      <c r="G100" s="197">
        <f t="shared" si="1"/>
        <v>2.14068</v>
      </c>
      <c r="H100" s="197">
        <f t="shared" si="1"/>
        <v>2.16286</v>
      </c>
      <c r="I100" s="197">
        <f t="shared" si="1"/>
        <v>2.18457</v>
      </c>
      <c r="J100" s="197">
        <f t="shared" si="1"/>
        <v>2.20573</v>
      </c>
      <c r="K100" s="197">
        <f t="shared" si="1"/>
        <v>2.22645</v>
      </c>
      <c r="L100" s="197">
        <f t="shared" si="1"/>
        <v>2.24665</v>
      </c>
      <c r="M100" s="197">
        <f t="shared" si="1"/>
        <v>2.26654</v>
      </c>
      <c r="N100" s="197">
        <f t="shared" si="1"/>
        <v>2.28585</v>
      </c>
      <c r="O100" s="197">
        <f t="shared" si="1"/>
        <v>2.30493</v>
      </c>
      <c r="P100" s="197">
        <f t="shared" si="1"/>
        <v>2.32361</v>
      </c>
      <c r="Q100" s="197">
        <f t="shared" si="1"/>
        <v>2.34184</v>
      </c>
      <c r="R100" s="197">
        <f t="shared" si="1"/>
        <v>2.35965</v>
      </c>
      <c r="S100" s="197">
        <f t="shared" si="1"/>
        <v>2.37718</v>
      </c>
      <c r="T100" s="197">
        <f t="shared" si="1"/>
        <v>2.39416</v>
      </c>
    </row>
    <row r="101" spans="1:20" ht="12.75">
      <c r="A101" s="112"/>
      <c r="B101" s="11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</row>
    <row r="102" spans="1:20" ht="12.75">
      <c r="A102" s="112" t="s">
        <v>97</v>
      </c>
      <c r="B102" s="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</row>
    <row r="103" spans="1:20" ht="12.75">
      <c r="A103" s="113" t="s">
        <v>6</v>
      </c>
      <c r="B103" s="11"/>
      <c r="C103" s="111">
        <v>28910</v>
      </c>
      <c r="D103" s="111">
        <v>30110</v>
      </c>
      <c r="E103" s="111">
        <v>31220</v>
      </c>
      <c r="F103" s="111">
        <v>31160</v>
      </c>
      <c r="G103" s="111">
        <v>30970</v>
      </c>
      <c r="H103" s="111">
        <v>30640</v>
      </c>
      <c r="I103" s="111">
        <v>30320</v>
      </c>
      <c r="J103" s="111">
        <v>30050</v>
      </c>
      <c r="K103" s="111">
        <v>29820</v>
      </c>
      <c r="L103" s="111">
        <v>29620</v>
      </c>
      <c r="M103" s="111">
        <v>29460</v>
      </c>
      <c r="N103" s="111">
        <v>29320</v>
      </c>
      <c r="O103" s="111">
        <v>29200</v>
      </c>
      <c r="P103" s="111">
        <v>29090</v>
      </c>
      <c r="Q103" s="111">
        <v>28990</v>
      </c>
      <c r="R103" s="111">
        <v>28880</v>
      </c>
      <c r="S103" s="111">
        <v>28790</v>
      </c>
      <c r="T103" s="111">
        <v>28710</v>
      </c>
    </row>
    <row r="104" spans="1:20" ht="12.75">
      <c r="A104" s="113" t="s">
        <v>7</v>
      </c>
      <c r="B104" s="11"/>
      <c r="C104" s="111">
        <v>27990</v>
      </c>
      <c r="D104" s="111">
        <v>28840</v>
      </c>
      <c r="E104" s="111">
        <v>30040</v>
      </c>
      <c r="F104" s="111">
        <v>31180</v>
      </c>
      <c r="G104" s="111">
        <v>31220</v>
      </c>
      <c r="H104" s="111">
        <v>31010</v>
      </c>
      <c r="I104" s="111">
        <v>30680</v>
      </c>
      <c r="J104" s="111">
        <v>30360</v>
      </c>
      <c r="K104" s="111">
        <v>30090</v>
      </c>
      <c r="L104" s="111">
        <v>29860</v>
      </c>
      <c r="M104" s="111">
        <v>29670</v>
      </c>
      <c r="N104" s="111">
        <v>29510</v>
      </c>
      <c r="O104" s="111">
        <v>29370</v>
      </c>
      <c r="P104" s="111">
        <v>29250</v>
      </c>
      <c r="Q104" s="111">
        <v>29140</v>
      </c>
      <c r="R104" s="111">
        <v>29030</v>
      </c>
      <c r="S104" s="111">
        <v>28930</v>
      </c>
      <c r="T104" s="111">
        <v>28840</v>
      </c>
    </row>
    <row r="105" spans="1:20" ht="12.75">
      <c r="A105" s="113" t="s">
        <v>8</v>
      </c>
      <c r="B105" s="11"/>
      <c r="C105" s="111">
        <v>28180</v>
      </c>
      <c r="D105" s="111">
        <v>28020</v>
      </c>
      <c r="E105" s="111">
        <v>28820</v>
      </c>
      <c r="F105" s="111">
        <v>30100</v>
      </c>
      <c r="G105" s="111">
        <v>31260</v>
      </c>
      <c r="H105" s="111">
        <v>31280</v>
      </c>
      <c r="I105" s="111">
        <v>31070</v>
      </c>
      <c r="J105" s="111">
        <v>30740</v>
      </c>
      <c r="K105" s="111">
        <v>30420</v>
      </c>
      <c r="L105" s="111">
        <v>30150</v>
      </c>
      <c r="M105" s="111">
        <v>29920</v>
      </c>
      <c r="N105" s="111">
        <v>29730</v>
      </c>
      <c r="O105" s="111">
        <v>29570</v>
      </c>
      <c r="P105" s="111">
        <v>29430</v>
      </c>
      <c r="Q105" s="111">
        <v>29310</v>
      </c>
      <c r="R105" s="111">
        <v>29200</v>
      </c>
      <c r="S105" s="111">
        <v>29090</v>
      </c>
      <c r="T105" s="111">
        <v>28990</v>
      </c>
    </row>
    <row r="106" spans="1:20" ht="12.75">
      <c r="A106" s="113" t="s">
        <v>9</v>
      </c>
      <c r="B106" s="11"/>
      <c r="C106" s="111">
        <v>27310</v>
      </c>
      <c r="D106" s="111">
        <v>28230</v>
      </c>
      <c r="E106" s="111">
        <v>28010</v>
      </c>
      <c r="F106" s="111">
        <v>28890</v>
      </c>
      <c r="G106" s="111">
        <v>30190</v>
      </c>
      <c r="H106" s="111">
        <v>31330</v>
      </c>
      <c r="I106" s="111">
        <v>31350</v>
      </c>
      <c r="J106" s="111">
        <v>31140</v>
      </c>
      <c r="K106" s="111">
        <v>30800</v>
      </c>
      <c r="L106" s="111">
        <v>30490</v>
      </c>
      <c r="M106" s="111">
        <v>30220</v>
      </c>
      <c r="N106" s="111">
        <v>29990</v>
      </c>
      <c r="O106" s="111">
        <v>29800</v>
      </c>
      <c r="P106" s="111">
        <v>29630</v>
      </c>
      <c r="Q106" s="111">
        <v>29490</v>
      </c>
      <c r="R106" s="111">
        <v>29370</v>
      </c>
      <c r="S106" s="111">
        <v>29260</v>
      </c>
      <c r="T106" s="111">
        <v>29160</v>
      </c>
    </row>
    <row r="107" spans="1:20" ht="12.75">
      <c r="A107" s="113" t="s">
        <v>10</v>
      </c>
      <c r="B107" s="11"/>
      <c r="C107" s="111">
        <v>27400</v>
      </c>
      <c r="D107" s="111">
        <v>27380</v>
      </c>
      <c r="E107" s="111">
        <v>28240</v>
      </c>
      <c r="F107" s="111">
        <v>28080</v>
      </c>
      <c r="G107" s="111">
        <v>28990</v>
      </c>
      <c r="H107" s="111">
        <v>30260</v>
      </c>
      <c r="I107" s="111">
        <v>31400</v>
      </c>
      <c r="J107" s="111">
        <v>31420</v>
      </c>
      <c r="K107" s="111">
        <v>31210</v>
      </c>
      <c r="L107" s="111">
        <v>30880</v>
      </c>
      <c r="M107" s="111">
        <v>30560</v>
      </c>
      <c r="N107" s="111">
        <v>30290</v>
      </c>
      <c r="O107" s="111">
        <v>30060</v>
      </c>
      <c r="P107" s="111">
        <v>29870</v>
      </c>
      <c r="Q107" s="111">
        <v>29710</v>
      </c>
      <c r="R107" s="111">
        <v>29570</v>
      </c>
      <c r="S107" s="111">
        <v>29450</v>
      </c>
      <c r="T107" s="111">
        <v>29340</v>
      </c>
    </row>
    <row r="108" spans="1:20" ht="12.75">
      <c r="A108" s="113" t="s">
        <v>11</v>
      </c>
      <c r="B108" s="11"/>
      <c r="C108" s="111">
        <v>28370</v>
      </c>
      <c r="D108" s="111">
        <v>27510</v>
      </c>
      <c r="E108" s="111">
        <v>27400</v>
      </c>
      <c r="F108" s="111">
        <v>28310</v>
      </c>
      <c r="G108" s="111">
        <v>28180</v>
      </c>
      <c r="H108" s="111">
        <v>29060</v>
      </c>
      <c r="I108" s="111">
        <v>30340</v>
      </c>
      <c r="J108" s="111">
        <v>31480</v>
      </c>
      <c r="K108" s="111">
        <v>31490</v>
      </c>
      <c r="L108" s="111">
        <v>31290</v>
      </c>
      <c r="M108" s="111">
        <v>30950</v>
      </c>
      <c r="N108" s="111">
        <v>30640</v>
      </c>
      <c r="O108" s="111">
        <v>30370</v>
      </c>
      <c r="P108" s="111">
        <v>30140</v>
      </c>
      <c r="Q108" s="111">
        <v>29950</v>
      </c>
      <c r="R108" s="111">
        <v>29780</v>
      </c>
      <c r="S108" s="111">
        <v>29640</v>
      </c>
      <c r="T108" s="111">
        <v>29530</v>
      </c>
    </row>
    <row r="109" spans="1:20" ht="12.75">
      <c r="A109" s="113" t="s">
        <v>12</v>
      </c>
      <c r="B109" s="11"/>
      <c r="C109" s="111">
        <v>28910</v>
      </c>
      <c r="D109" s="111">
        <v>28430</v>
      </c>
      <c r="E109" s="111">
        <v>27520</v>
      </c>
      <c r="F109" s="111">
        <v>27480</v>
      </c>
      <c r="G109" s="111">
        <v>28420</v>
      </c>
      <c r="H109" s="111">
        <v>28270</v>
      </c>
      <c r="I109" s="111">
        <v>29140</v>
      </c>
      <c r="J109" s="111">
        <v>30420</v>
      </c>
      <c r="K109" s="111">
        <v>31560</v>
      </c>
      <c r="L109" s="111">
        <v>31570</v>
      </c>
      <c r="M109" s="111">
        <v>31370</v>
      </c>
      <c r="N109" s="111">
        <v>31030</v>
      </c>
      <c r="O109" s="111">
        <v>30720</v>
      </c>
      <c r="P109" s="111">
        <v>30450</v>
      </c>
      <c r="Q109" s="111">
        <v>30220</v>
      </c>
      <c r="R109" s="111">
        <v>30030</v>
      </c>
      <c r="S109" s="111">
        <v>29860</v>
      </c>
      <c r="T109" s="111">
        <v>29730</v>
      </c>
    </row>
    <row r="110" spans="1:20" ht="12.75">
      <c r="A110" s="113" t="s">
        <v>13</v>
      </c>
      <c r="B110" s="11"/>
      <c r="C110" s="111">
        <v>27980</v>
      </c>
      <c r="D110" s="111">
        <v>29000</v>
      </c>
      <c r="E110" s="111">
        <v>28410</v>
      </c>
      <c r="F110" s="111">
        <v>27610</v>
      </c>
      <c r="G110" s="111">
        <v>27590</v>
      </c>
      <c r="H110" s="111">
        <v>28510</v>
      </c>
      <c r="I110" s="111">
        <v>28350</v>
      </c>
      <c r="J110" s="111">
        <v>29230</v>
      </c>
      <c r="K110" s="111">
        <v>30500</v>
      </c>
      <c r="L110" s="111">
        <v>31640</v>
      </c>
      <c r="M110" s="111">
        <v>31660</v>
      </c>
      <c r="N110" s="111">
        <v>31450</v>
      </c>
      <c r="O110" s="111">
        <v>31120</v>
      </c>
      <c r="P110" s="111">
        <v>30800</v>
      </c>
      <c r="Q110" s="111">
        <v>30530</v>
      </c>
      <c r="R110" s="111">
        <v>30300</v>
      </c>
      <c r="S110" s="111">
        <v>30110</v>
      </c>
      <c r="T110" s="111">
        <v>29950</v>
      </c>
    </row>
    <row r="111" spans="1:20" ht="12.75">
      <c r="A111" s="113" t="s">
        <v>14</v>
      </c>
      <c r="B111" s="11"/>
      <c r="C111" s="111">
        <v>28620</v>
      </c>
      <c r="D111" s="111">
        <v>28050</v>
      </c>
      <c r="E111" s="111">
        <v>29030</v>
      </c>
      <c r="F111" s="111">
        <v>28500</v>
      </c>
      <c r="G111" s="111">
        <v>27720</v>
      </c>
      <c r="H111" s="111">
        <v>27670</v>
      </c>
      <c r="I111" s="111">
        <v>28590</v>
      </c>
      <c r="J111" s="111">
        <v>28430</v>
      </c>
      <c r="K111" s="111">
        <v>29310</v>
      </c>
      <c r="L111" s="111">
        <v>30590</v>
      </c>
      <c r="M111" s="111">
        <v>31720</v>
      </c>
      <c r="N111" s="111">
        <v>31740</v>
      </c>
      <c r="O111" s="111">
        <v>31540</v>
      </c>
      <c r="P111" s="111">
        <v>31200</v>
      </c>
      <c r="Q111" s="111">
        <v>30880</v>
      </c>
      <c r="R111" s="111">
        <v>30610</v>
      </c>
      <c r="S111" s="111">
        <v>30390</v>
      </c>
      <c r="T111" s="111">
        <v>30190</v>
      </c>
    </row>
    <row r="112" spans="1:20" ht="12.75">
      <c r="A112" s="113" t="s">
        <v>15</v>
      </c>
      <c r="B112" s="11"/>
      <c r="C112" s="111">
        <v>28770</v>
      </c>
      <c r="D112" s="111">
        <v>28700</v>
      </c>
      <c r="E112" s="111">
        <v>28050</v>
      </c>
      <c r="F112" s="111">
        <v>29110</v>
      </c>
      <c r="G112" s="111">
        <v>28600</v>
      </c>
      <c r="H112" s="111">
        <v>27800</v>
      </c>
      <c r="I112" s="111">
        <v>27760</v>
      </c>
      <c r="J112" s="111">
        <v>28670</v>
      </c>
      <c r="K112" s="111">
        <v>28520</v>
      </c>
      <c r="L112" s="111">
        <v>29390</v>
      </c>
      <c r="M112" s="111">
        <v>30670</v>
      </c>
      <c r="N112" s="111">
        <v>31810</v>
      </c>
      <c r="O112" s="111">
        <v>31820</v>
      </c>
      <c r="P112" s="111">
        <v>31620</v>
      </c>
      <c r="Q112" s="111">
        <v>31280</v>
      </c>
      <c r="R112" s="111">
        <v>30970</v>
      </c>
      <c r="S112" s="111">
        <v>30700</v>
      </c>
      <c r="T112" s="111">
        <v>30470</v>
      </c>
    </row>
    <row r="113" spans="1:20" ht="12.75">
      <c r="A113" s="113" t="s">
        <v>16</v>
      </c>
      <c r="B113" s="11"/>
      <c r="C113" s="111">
        <v>29250</v>
      </c>
      <c r="D113" s="111">
        <v>28830</v>
      </c>
      <c r="E113" s="111">
        <v>28670</v>
      </c>
      <c r="F113" s="111">
        <v>28130</v>
      </c>
      <c r="G113" s="111">
        <v>29220</v>
      </c>
      <c r="H113" s="111">
        <v>28690</v>
      </c>
      <c r="I113" s="111">
        <v>27880</v>
      </c>
      <c r="J113" s="111">
        <v>27840</v>
      </c>
      <c r="K113" s="111">
        <v>28750</v>
      </c>
      <c r="L113" s="111">
        <v>28600</v>
      </c>
      <c r="M113" s="111">
        <v>29470</v>
      </c>
      <c r="N113" s="111">
        <v>30750</v>
      </c>
      <c r="O113" s="111">
        <v>31890</v>
      </c>
      <c r="P113" s="111">
        <v>31910</v>
      </c>
      <c r="Q113" s="111">
        <v>31700</v>
      </c>
      <c r="R113" s="111">
        <v>31370</v>
      </c>
      <c r="S113" s="111">
        <v>31050</v>
      </c>
      <c r="T113" s="111">
        <v>30780</v>
      </c>
    </row>
    <row r="114" spans="1:20" ht="12.75">
      <c r="A114" s="113" t="s">
        <v>17</v>
      </c>
      <c r="B114" s="11"/>
      <c r="C114" s="111">
        <v>29970</v>
      </c>
      <c r="D114" s="111">
        <v>29320</v>
      </c>
      <c r="E114" s="111">
        <v>28830</v>
      </c>
      <c r="F114" s="111">
        <v>28750</v>
      </c>
      <c r="G114" s="111">
        <v>28240</v>
      </c>
      <c r="H114" s="111">
        <v>29300</v>
      </c>
      <c r="I114" s="111">
        <v>28770</v>
      </c>
      <c r="J114" s="111">
        <v>27960</v>
      </c>
      <c r="K114" s="111">
        <v>27920</v>
      </c>
      <c r="L114" s="111">
        <v>28840</v>
      </c>
      <c r="M114" s="111">
        <v>28680</v>
      </c>
      <c r="N114" s="111">
        <v>29560</v>
      </c>
      <c r="O114" s="111">
        <v>30830</v>
      </c>
      <c r="P114" s="111">
        <v>31970</v>
      </c>
      <c r="Q114" s="111">
        <v>31990</v>
      </c>
      <c r="R114" s="111">
        <v>31780</v>
      </c>
      <c r="S114" s="111">
        <v>31450</v>
      </c>
      <c r="T114" s="111">
        <v>31130</v>
      </c>
    </row>
    <row r="115" spans="1:20" ht="12.75">
      <c r="A115" s="113" t="s">
        <v>18</v>
      </c>
      <c r="B115" s="11"/>
      <c r="C115" s="111">
        <v>29990</v>
      </c>
      <c r="D115" s="111">
        <v>30050</v>
      </c>
      <c r="E115" s="111">
        <v>29330</v>
      </c>
      <c r="F115" s="111">
        <v>28910</v>
      </c>
      <c r="G115" s="111">
        <v>28860</v>
      </c>
      <c r="H115" s="111">
        <v>28330</v>
      </c>
      <c r="I115" s="111">
        <v>29390</v>
      </c>
      <c r="J115" s="111">
        <v>28850</v>
      </c>
      <c r="K115" s="111">
        <v>28040</v>
      </c>
      <c r="L115" s="111">
        <v>28000</v>
      </c>
      <c r="M115" s="111">
        <v>28920</v>
      </c>
      <c r="N115" s="111">
        <v>28760</v>
      </c>
      <c r="O115" s="111">
        <v>29640</v>
      </c>
      <c r="P115" s="111">
        <v>30920</v>
      </c>
      <c r="Q115" s="111">
        <v>32050</v>
      </c>
      <c r="R115" s="111">
        <v>32070</v>
      </c>
      <c r="S115" s="111">
        <v>31870</v>
      </c>
      <c r="T115" s="111">
        <v>31530</v>
      </c>
    </row>
    <row r="116" spans="1:20" ht="12.75">
      <c r="A116" s="113" t="s">
        <v>19</v>
      </c>
      <c r="B116" s="11"/>
      <c r="C116" s="111">
        <v>30750</v>
      </c>
      <c r="D116" s="111">
        <v>30070</v>
      </c>
      <c r="E116" s="111">
        <v>30040</v>
      </c>
      <c r="F116" s="111">
        <v>29420</v>
      </c>
      <c r="G116" s="111">
        <v>29030</v>
      </c>
      <c r="H116" s="111">
        <v>28950</v>
      </c>
      <c r="I116" s="111">
        <v>28420</v>
      </c>
      <c r="J116" s="111">
        <v>29480</v>
      </c>
      <c r="K116" s="111">
        <v>28940</v>
      </c>
      <c r="L116" s="111">
        <v>28140</v>
      </c>
      <c r="M116" s="111">
        <v>28100</v>
      </c>
      <c r="N116" s="111">
        <v>29010</v>
      </c>
      <c r="O116" s="111">
        <v>28860</v>
      </c>
      <c r="P116" s="111">
        <v>29730</v>
      </c>
      <c r="Q116" s="111">
        <v>31010</v>
      </c>
      <c r="R116" s="111">
        <v>32150</v>
      </c>
      <c r="S116" s="111">
        <v>32160</v>
      </c>
      <c r="T116" s="111">
        <v>31960</v>
      </c>
    </row>
    <row r="117" spans="1:20" ht="12.75">
      <c r="A117" s="113" t="s">
        <v>20</v>
      </c>
      <c r="B117" s="11"/>
      <c r="C117" s="111">
        <v>30960</v>
      </c>
      <c r="D117" s="111">
        <v>30820</v>
      </c>
      <c r="E117" s="111">
        <v>30090</v>
      </c>
      <c r="F117" s="111">
        <v>30170</v>
      </c>
      <c r="G117" s="111">
        <v>29560</v>
      </c>
      <c r="H117" s="111">
        <v>29150</v>
      </c>
      <c r="I117" s="111">
        <v>29080</v>
      </c>
      <c r="J117" s="111">
        <v>28540</v>
      </c>
      <c r="K117" s="111">
        <v>29600</v>
      </c>
      <c r="L117" s="111">
        <v>29070</v>
      </c>
      <c r="M117" s="111">
        <v>28260</v>
      </c>
      <c r="N117" s="111">
        <v>28220</v>
      </c>
      <c r="O117" s="111">
        <v>29140</v>
      </c>
      <c r="P117" s="111">
        <v>28980</v>
      </c>
      <c r="Q117" s="111">
        <v>29860</v>
      </c>
      <c r="R117" s="111">
        <v>31130</v>
      </c>
      <c r="S117" s="111">
        <v>32270</v>
      </c>
      <c r="T117" s="111">
        <v>32290</v>
      </c>
    </row>
    <row r="118" spans="1:20" ht="12.75">
      <c r="A118" s="113" t="s">
        <v>21</v>
      </c>
      <c r="B118" s="11"/>
      <c r="C118" s="111">
        <v>32030</v>
      </c>
      <c r="D118" s="111">
        <v>31160</v>
      </c>
      <c r="E118" s="111">
        <v>30910</v>
      </c>
      <c r="F118" s="111">
        <v>30270</v>
      </c>
      <c r="G118" s="111">
        <v>30370</v>
      </c>
      <c r="H118" s="111">
        <v>29740</v>
      </c>
      <c r="I118" s="111">
        <v>29330</v>
      </c>
      <c r="J118" s="111">
        <v>29250</v>
      </c>
      <c r="K118" s="111">
        <v>28720</v>
      </c>
      <c r="L118" s="111">
        <v>29780</v>
      </c>
      <c r="M118" s="111">
        <v>29240</v>
      </c>
      <c r="N118" s="111">
        <v>28440</v>
      </c>
      <c r="O118" s="111">
        <v>28400</v>
      </c>
      <c r="P118" s="111">
        <v>29310</v>
      </c>
      <c r="Q118" s="111">
        <v>29160</v>
      </c>
      <c r="R118" s="111">
        <v>30030</v>
      </c>
      <c r="S118" s="111">
        <v>31310</v>
      </c>
      <c r="T118" s="111">
        <v>32450</v>
      </c>
    </row>
    <row r="119" spans="1:20" ht="12.75">
      <c r="A119" s="113" t="s">
        <v>22</v>
      </c>
      <c r="B119" s="11"/>
      <c r="C119" s="111">
        <v>31990</v>
      </c>
      <c r="D119" s="111">
        <v>32290</v>
      </c>
      <c r="E119" s="111">
        <v>31330</v>
      </c>
      <c r="F119" s="111">
        <v>31120</v>
      </c>
      <c r="G119" s="111">
        <v>30520</v>
      </c>
      <c r="H119" s="111">
        <v>30580</v>
      </c>
      <c r="I119" s="111">
        <v>29950</v>
      </c>
      <c r="J119" s="111">
        <v>29540</v>
      </c>
      <c r="K119" s="111">
        <v>29470</v>
      </c>
      <c r="L119" s="111">
        <v>28940</v>
      </c>
      <c r="M119" s="111">
        <v>30000</v>
      </c>
      <c r="N119" s="111">
        <v>29460</v>
      </c>
      <c r="O119" s="111">
        <v>28660</v>
      </c>
      <c r="P119" s="111">
        <v>28620</v>
      </c>
      <c r="Q119" s="111">
        <v>29530</v>
      </c>
      <c r="R119" s="111">
        <v>29370</v>
      </c>
      <c r="S119" s="111">
        <v>30250</v>
      </c>
      <c r="T119" s="111">
        <v>31530</v>
      </c>
    </row>
    <row r="120" spans="1:20" ht="12.75">
      <c r="A120" s="113" t="s">
        <v>23</v>
      </c>
      <c r="B120" s="11"/>
      <c r="C120" s="111">
        <v>30880</v>
      </c>
      <c r="D120" s="111">
        <v>32240</v>
      </c>
      <c r="E120" s="111">
        <v>32480</v>
      </c>
      <c r="F120" s="111">
        <v>31540</v>
      </c>
      <c r="G120" s="111">
        <v>31380</v>
      </c>
      <c r="H120" s="111">
        <v>30730</v>
      </c>
      <c r="I120" s="111">
        <v>30800</v>
      </c>
      <c r="J120" s="111">
        <v>30170</v>
      </c>
      <c r="K120" s="111">
        <v>29760</v>
      </c>
      <c r="L120" s="111">
        <v>29690</v>
      </c>
      <c r="M120" s="111">
        <v>29150</v>
      </c>
      <c r="N120" s="111">
        <v>30210</v>
      </c>
      <c r="O120" s="111">
        <v>29680</v>
      </c>
      <c r="P120" s="111">
        <v>28880</v>
      </c>
      <c r="Q120" s="111">
        <v>28840</v>
      </c>
      <c r="R120" s="111">
        <v>29750</v>
      </c>
      <c r="S120" s="111">
        <v>29590</v>
      </c>
      <c r="T120" s="111">
        <v>30470</v>
      </c>
    </row>
    <row r="121" spans="1:20" ht="12.75">
      <c r="A121" s="113" t="s">
        <v>24</v>
      </c>
      <c r="B121" s="11"/>
      <c r="C121" s="111">
        <v>30180</v>
      </c>
      <c r="D121" s="111">
        <v>30880</v>
      </c>
      <c r="E121" s="111">
        <v>32210</v>
      </c>
      <c r="F121" s="111">
        <v>32670</v>
      </c>
      <c r="G121" s="111">
        <v>31780</v>
      </c>
      <c r="H121" s="111">
        <v>31570</v>
      </c>
      <c r="I121" s="111">
        <v>30930</v>
      </c>
      <c r="J121" s="111">
        <v>30990</v>
      </c>
      <c r="K121" s="111">
        <v>30360</v>
      </c>
      <c r="L121" s="111">
        <v>29950</v>
      </c>
      <c r="M121" s="111">
        <v>29880</v>
      </c>
      <c r="N121" s="111">
        <v>29350</v>
      </c>
      <c r="O121" s="111">
        <v>30410</v>
      </c>
      <c r="P121" s="111">
        <v>29870</v>
      </c>
      <c r="Q121" s="111">
        <v>29070</v>
      </c>
      <c r="R121" s="111">
        <v>29030</v>
      </c>
      <c r="S121" s="111">
        <v>29940</v>
      </c>
      <c r="T121" s="111">
        <v>29790</v>
      </c>
    </row>
    <row r="122" spans="1:20" ht="12.75">
      <c r="A122" s="113" t="s">
        <v>25</v>
      </c>
      <c r="B122" s="11"/>
      <c r="C122" s="111">
        <v>29070</v>
      </c>
      <c r="D122" s="111">
        <v>30220</v>
      </c>
      <c r="E122" s="111">
        <v>30910</v>
      </c>
      <c r="F122" s="111">
        <v>32330</v>
      </c>
      <c r="G122" s="111">
        <v>32870</v>
      </c>
      <c r="H122" s="111">
        <v>31900</v>
      </c>
      <c r="I122" s="111">
        <v>31690</v>
      </c>
      <c r="J122" s="111">
        <v>31050</v>
      </c>
      <c r="K122" s="111">
        <v>31110</v>
      </c>
      <c r="L122" s="111">
        <v>30490</v>
      </c>
      <c r="M122" s="111">
        <v>30080</v>
      </c>
      <c r="N122" s="111">
        <v>30010</v>
      </c>
      <c r="O122" s="111">
        <v>29470</v>
      </c>
      <c r="P122" s="111">
        <v>30530</v>
      </c>
      <c r="Q122" s="111">
        <v>30000</v>
      </c>
      <c r="R122" s="111">
        <v>29190</v>
      </c>
      <c r="S122" s="111">
        <v>29160</v>
      </c>
      <c r="T122" s="111">
        <v>30070</v>
      </c>
    </row>
    <row r="123" spans="1:20" ht="12.75">
      <c r="A123" s="113" t="s">
        <v>26</v>
      </c>
      <c r="B123" s="11"/>
      <c r="C123" s="111">
        <v>29720</v>
      </c>
      <c r="D123" s="111">
        <v>29220</v>
      </c>
      <c r="E123" s="111">
        <v>30430</v>
      </c>
      <c r="F123" s="111">
        <v>30870</v>
      </c>
      <c r="G123" s="111">
        <v>32380</v>
      </c>
      <c r="H123" s="111">
        <v>32830</v>
      </c>
      <c r="I123" s="111">
        <v>31870</v>
      </c>
      <c r="J123" s="111">
        <v>31660</v>
      </c>
      <c r="K123" s="111">
        <v>31010</v>
      </c>
      <c r="L123" s="111">
        <v>31080</v>
      </c>
      <c r="M123" s="111">
        <v>30450</v>
      </c>
      <c r="N123" s="111">
        <v>30040</v>
      </c>
      <c r="O123" s="111">
        <v>29970</v>
      </c>
      <c r="P123" s="111">
        <v>29440</v>
      </c>
      <c r="Q123" s="111">
        <v>30500</v>
      </c>
      <c r="R123" s="111">
        <v>29960</v>
      </c>
      <c r="S123" s="111">
        <v>29160</v>
      </c>
      <c r="T123" s="111">
        <v>29120</v>
      </c>
    </row>
    <row r="124" spans="1:20" ht="12.75">
      <c r="A124" s="113" t="s">
        <v>27</v>
      </c>
      <c r="B124" s="11"/>
      <c r="C124" s="111">
        <v>29650</v>
      </c>
      <c r="D124" s="111">
        <v>29650</v>
      </c>
      <c r="E124" s="111">
        <v>29160</v>
      </c>
      <c r="F124" s="111">
        <v>30160</v>
      </c>
      <c r="G124" s="111">
        <v>30690</v>
      </c>
      <c r="H124" s="111">
        <v>32120</v>
      </c>
      <c r="I124" s="111">
        <v>32570</v>
      </c>
      <c r="J124" s="111">
        <v>31600</v>
      </c>
      <c r="K124" s="111">
        <v>31390</v>
      </c>
      <c r="L124" s="111">
        <v>30750</v>
      </c>
      <c r="M124" s="111">
        <v>30820</v>
      </c>
      <c r="N124" s="111">
        <v>30190</v>
      </c>
      <c r="O124" s="111">
        <v>29780</v>
      </c>
      <c r="P124" s="111">
        <v>29710</v>
      </c>
      <c r="Q124" s="111">
        <v>29180</v>
      </c>
      <c r="R124" s="111">
        <v>30230</v>
      </c>
      <c r="S124" s="111">
        <v>29700</v>
      </c>
      <c r="T124" s="111">
        <v>28900</v>
      </c>
    </row>
    <row r="125" spans="1:20" ht="12.75">
      <c r="A125" s="113" t="s">
        <v>28</v>
      </c>
      <c r="B125" s="11"/>
      <c r="C125" s="111">
        <v>29240</v>
      </c>
      <c r="D125" s="111">
        <v>29350</v>
      </c>
      <c r="E125" s="111">
        <v>29360</v>
      </c>
      <c r="F125" s="111">
        <v>28750</v>
      </c>
      <c r="G125" s="111">
        <v>29840</v>
      </c>
      <c r="H125" s="111">
        <v>30280</v>
      </c>
      <c r="I125" s="111">
        <v>31710</v>
      </c>
      <c r="J125" s="111">
        <v>32160</v>
      </c>
      <c r="K125" s="111">
        <v>31200</v>
      </c>
      <c r="L125" s="111">
        <v>30990</v>
      </c>
      <c r="M125" s="111">
        <v>30340</v>
      </c>
      <c r="N125" s="111">
        <v>30410</v>
      </c>
      <c r="O125" s="111">
        <v>29780</v>
      </c>
      <c r="P125" s="111">
        <v>29370</v>
      </c>
      <c r="Q125" s="111">
        <v>29300</v>
      </c>
      <c r="R125" s="111">
        <v>28770</v>
      </c>
      <c r="S125" s="111">
        <v>29830</v>
      </c>
      <c r="T125" s="111">
        <v>29300</v>
      </c>
    </row>
    <row r="126" spans="1:20" ht="12.75">
      <c r="A126" s="113" t="s">
        <v>29</v>
      </c>
      <c r="B126" s="11"/>
      <c r="C126" s="111">
        <v>28880</v>
      </c>
      <c r="D126" s="111">
        <v>28950</v>
      </c>
      <c r="E126" s="111">
        <v>29100</v>
      </c>
      <c r="F126" s="111">
        <v>28950</v>
      </c>
      <c r="G126" s="111">
        <v>28440</v>
      </c>
      <c r="H126" s="111">
        <v>29430</v>
      </c>
      <c r="I126" s="111">
        <v>29870</v>
      </c>
      <c r="J126" s="111">
        <v>31300</v>
      </c>
      <c r="K126" s="111">
        <v>31750</v>
      </c>
      <c r="L126" s="111">
        <v>30790</v>
      </c>
      <c r="M126" s="111">
        <v>30580</v>
      </c>
      <c r="N126" s="111">
        <v>29930</v>
      </c>
      <c r="O126" s="111">
        <v>30000</v>
      </c>
      <c r="P126" s="111">
        <v>29370</v>
      </c>
      <c r="Q126" s="111">
        <v>28960</v>
      </c>
      <c r="R126" s="111">
        <v>28890</v>
      </c>
      <c r="S126" s="111">
        <v>28360</v>
      </c>
      <c r="T126" s="111">
        <v>29420</v>
      </c>
    </row>
    <row r="127" spans="1:20" ht="12.75">
      <c r="A127" s="113" t="s">
        <v>30</v>
      </c>
      <c r="B127" s="11"/>
      <c r="C127" s="111">
        <v>27860</v>
      </c>
      <c r="D127" s="111">
        <v>28700</v>
      </c>
      <c r="E127" s="111">
        <v>28780</v>
      </c>
      <c r="F127" s="111">
        <v>28780</v>
      </c>
      <c r="G127" s="111">
        <v>28750</v>
      </c>
      <c r="H127" s="111">
        <v>28130</v>
      </c>
      <c r="I127" s="111">
        <v>29120</v>
      </c>
      <c r="J127" s="111">
        <v>29560</v>
      </c>
      <c r="K127" s="111">
        <v>30990</v>
      </c>
      <c r="L127" s="111">
        <v>31440</v>
      </c>
      <c r="M127" s="111">
        <v>30470</v>
      </c>
      <c r="N127" s="111">
        <v>30260</v>
      </c>
      <c r="O127" s="111">
        <v>29620</v>
      </c>
      <c r="P127" s="111">
        <v>29690</v>
      </c>
      <c r="Q127" s="111">
        <v>29060</v>
      </c>
      <c r="R127" s="111">
        <v>28650</v>
      </c>
      <c r="S127" s="111">
        <v>28580</v>
      </c>
      <c r="T127" s="111">
        <v>28050</v>
      </c>
    </row>
    <row r="128" spans="1:20" ht="12.75">
      <c r="A128" s="113" t="s">
        <v>31</v>
      </c>
      <c r="B128" s="11"/>
      <c r="C128" s="111">
        <v>27140</v>
      </c>
      <c r="D128" s="111">
        <v>27880</v>
      </c>
      <c r="E128" s="111">
        <v>28610</v>
      </c>
      <c r="F128" s="111">
        <v>28670</v>
      </c>
      <c r="G128" s="111">
        <v>28770</v>
      </c>
      <c r="H128" s="111">
        <v>28640</v>
      </c>
      <c r="I128" s="111">
        <v>28020</v>
      </c>
      <c r="J128" s="111">
        <v>29010</v>
      </c>
      <c r="K128" s="111">
        <v>29450</v>
      </c>
      <c r="L128" s="111">
        <v>30880</v>
      </c>
      <c r="M128" s="111">
        <v>31330</v>
      </c>
      <c r="N128" s="111">
        <v>30360</v>
      </c>
      <c r="O128" s="111">
        <v>30160</v>
      </c>
      <c r="P128" s="111">
        <v>29510</v>
      </c>
      <c r="Q128" s="111">
        <v>29580</v>
      </c>
      <c r="R128" s="111">
        <v>28950</v>
      </c>
      <c r="S128" s="111">
        <v>28550</v>
      </c>
      <c r="T128" s="111">
        <v>28480</v>
      </c>
    </row>
    <row r="129" spans="1:20" ht="12.75">
      <c r="A129" s="113" t="s">
        <v>32</v>
      </c>
      <c r="B129" s="11"/>
      <c r="C129" s="111">
        <v>26810</v>
      </c>
      <c r="D129" s="111">
        <v>27310</v>
      </c>
      <c r="E129" s="111">
        <v>27900</v>
      </c>
      <c r="F129" s="111">
        <v>28740</v>
      </c>
      <c r="G129" s="111">
        <v>28870</v>
      </c>
      <c r="H129" s="111">
        <v>28900</v>
      </c>
      <c r="I129" s="111">
        <v>28760</v>
      </c>
      <c r="J129" s="111">
        <v>28140</v>
      </c>
      <c r="K129" s="111">
        <v>29130</v>
      </c>
      <c r="L129" s="111">
        <v>29570</v>
      </c>
      <c r="M129" s="111">
        <v>31000</v>
      </c>
      <c r="N129" s="111">
        <v>31450</v>
      </c>
      <c r="O129" s="111">
        <v>30490</v>
      </c>
      <c r="P129" s="111">
        <v>30280</v>
      </c>
      <c r="Q129" s="111">
        <v>29640</v>
      </c>
      <c r="R129" s="111">
        <v>29700</v>
      </c>
      <c r="S129" s="111">
        <v>29080</v>
      </c>
      <c r="T129" s="111">
        <v>28670</v>
      </c>
    </row>
    <row r="130" spans="1:20" ht="12.75">
      <c r="A130" s="113" t="s">
        <v>33</v>
      </c>
      <c r="B130" s="11"/>
      <c r="C130" s="111">
        <v>26790</v>
      </c>
      <c r="D130" s="111">
        <v>27070</v>
      </c>
      <c r="E130" s="111">
        <v>27530</v>
      </c>
      <c r="F130" s="111">
        <v>28170</v>
      </c>
      <c r="G130" s="111">
        <v>29090</v>
      </c>
      <c r="H130" s="111">
        <v>29130</v>
      </c>
      <c r="I130" s="111">
        <v>29160</v>
      </c>
      <c r="J130" s="111">
        <v>29030</v>
      </c>
      <c r="K130" s="111">
        <v>28410</v>
      </c>
      <c r="L130" s="111">
        <v>29400</v>
      </c>
      <c r="M130" s="111">
        <v>29840</v>
      </c>
      <c r="N130" s="111">
        <v>31270</v>
      </c>
      <c r="O130" s="111">
        <v>31710</v>
      </c>
      <c r="P130" s="111">
        <v>30750</v>
      </c>
      <c r="Q130" s="111">
        <v>30540</v>
      </c>
      <c r="R130" s="111">
        <v>29900</v>
      </c>
      <c r="S130" s="111">
        <v>29970</v>
      </c>
      <c r="T130" s="111">
        <v>29340</v>
      </c>
    </row>
    <row r="131" spans="1:20" ht="12.75">
      <c r="A131" s="113" t="s">
        <v>34</v>
      </c>
      <c r="B131" s="11"/>
      <c r="C131" s="111">
        <v>26050</v>
      </c>
      <c r="D131" s="111">
        <v>27170</v>
      </c>
      <c r="E131" s="111">
        <v>27400</v>
      </c>
      <c r="F131" s="111">
        <v>27880</v>
      </c>
      <c r="G131" s="111">
        <v>28620</v>
      </c>
      <c r="H131" s="111">
        <v>29440</v>
      </c>
      <c r="I131" s="111">
        <v>29480</v>
      </c>
      <c r="J131" s="111">
        <v>29510</v>
      </c>
      <c r="K131" s="111">
        <v>29380</v>
      </c>
      <c r="L131" s="111">
        <v>28760</v>
      </c>
      <c r="M131" s="111">
        <v>29750</v>
      </c>
      <c r="N131" s="111">
        <v>30190</v>
      </c>
      <c r="O131" s="111">
        <v>31620</v>
      </c>
      <c r="P131" s="111">
        <v>32070</v>
      </c>
      <c r="Q131" s="111">
        <v>31110</v>
      </c>
      <c r="R131" s="111">
        <v>30900</v>
      </c>
      <c r="S131" s="111">
        <v>30260</v>
      </c>
      <c r="T131" s="111">
        <v>30320</v>
      </c>
    </row>
    <row r="132" spans="1:20" ht="12.75">
      <c r="A132" s="113" t="s">
        <v>35</v>
      </c>
      <c r="B132" s="11"/>
      <c r="C132" s="111">
        <v>26810</v>
      </c>
      <c r="D132" s="111">
        <v>26500</v>
      </c>
      <c r="E132" s="111">
        <v>27540</v>
      </c>
      <c r="F132" s="111">
        <v>27810</v>
      </c>
      <c r="G132" s="111">
        <v>28390</v>
      </c>
      <c r="H132" s="111">
        <v>29030</v>
      </c>
      <c r="I132" s="111">
        <v>29860</v>
      </c>
      <c r="J132" s="111">
        <v>29900</v>
      </c>
      <c r="K132" s="111">
        <v>29930</v>
      </c>
      <c r="L132" s="111">
        <v>29790</v>
      </c>
      <c r="M132" s="111">
        <v>29170</v>
      </c>
      <c r="N132" s="111">
        <v>30170</v>
      </c>
      <c r="O132" s="111">
        <v>30610</v>
      </c>
      <c r="P132" s="111">
        <v>32030</v>
      </c>
      <c r="Q132" s="111">
        <v>32480</v>
      </c>
      <c r="R132" s="111">
        <v>31520</v>
      </c>
      <c r="S132" s="111">
        <v>31310</v>
      </c>
      <c r="T132" s="111">
        <v>30670</v>
      </c>
    </row>
    <row r="133" spans="1:20" ht="12.75">
      <c r="A133" s="113" t="s">
        <v>36</v>
      </c>
      <c r="B133" s="11"/>
      <c r="C133" s="111">
        <v>27080</v>
      </c>
      <c r="D133" s="111">
        <v>27260</v>
      </c>
      <c r="E133" s="111">
        <v>26910</v>
      </c>
      <c r="F133" s="111">
        <v>27980</v>
      </c>
      <c r="G133" s="111">
        <v>28340</v>
      </c>
      <c r="H133" s="111">
        <v>28830</v>
      </c>
      <c r="I133" s="111">
        <v>29470</v>
      </c>
      <c r="J133" s="111">
        <v>30300</v>
      </c>
      <c r="K133" s="111">
        <v>30340</v>
      </c>
      <c r="L133" s="111">
        <v>30370</v>
      </c>
      <c r="M133" s="111">
        <v>30230</v>
      </c>
      <c r="N133" s="111">
        <v>29610</v>
      </c>
      <c r="O133" s="111">
        <v>30610</v>
      </c>
      <c r="P133" s="111">
        <v>31050</v>
      </c>
      <c r="Q133" s="111">
        <v>32470</v>
      </c>
      <c r="R133" s="111">
        <v>32920</v>
      </c>
      <c r="S133" s="111">
        <v>31960</v>
      </c>
      <c r="T133" s="111">
        <v>31750</v>
      </c>
    </row>
    <row r="134" spans="1:20" ht="12.75">
      <c r="A134" s="113" t="s">
        <v>37</v>
      </c>
      <c r="B134" s="11"/>
      <c r="C134" s="111">
        <v>28670</v>
      </c>
      <c r="D134" s="111">
        <v>27490</v>
      </c>
      <c r="E134" s="111">
        <v>27530</v>
      </c>
      <c r="F134" s="111">
        <v>27320</v>
      </c>
      <c r="G134" s="111">
        <v>28470</v>
      </c>
      <c r="H134" s="111">
        <v>28750</v>
      </c>
      <c r="I134" s="111">
        <v>29240</v>
      </c>
      <c r="J134" s="111">
        <v>29880</v>
      </c>
      <c r="K134" s="111">
        <v>30710</v>
      </c>
      <c r="L134" s="111">
        <v>30750</v>
      </c>
      <c r="M134" s="111">
        <v>30780</v>
      </c>
      <c r="N134" s="111">
        <v>30640</v>
      </c>
      <c r="O134" s="111">
        <v>30030</v>
      </c>
      <c r="P134" s="111">
        <v>31020</v>
      </c>
      <c r="Q134" s="111">
        <v>31460</v>
      </c>
      <c r="R134" s="111">
        <v>32880</v>
      </c>
      <c r="S134" s="111">
        <v>33330</v>
      </c>
      <c r="T134" s="111">
        <v>32370</v>
      </c>
    </row>
    <row r="135" spans="1:20" ht="12.75">
      <c r="A135" s="113" t="s">
        <v>38</v>
      </c>
      <c r="B135" s="11"/>
      <c r="C135" s="111">
        <v>29960</v>
      </c>
      <c r="D135" s="111">
        <v>28910</v>
      </c>
      <c r="E135" s="111">
        <v>27640</v>
      </c>
      <c r="F135" s="111">
        <v>27860</v>
      </c>
      <c r="G135" s="111">
        <v>27700</v>
      </c>
      <c r="H135" s="111">
        <v>28800</v>
      </c>
      <c r="I135" s="111">
        <v>29090</v>
      </c>
      <c r="J135" s="111">
        <v>29580</v>
      </c>
      <c r="K135" s="111">
        <v>30210</v>
      </c>
      <c r="L135" s="111">
        <v>31040</v>
      </c>
      <c r="M135" s="111">
        <v>31080</v>
      </c>
      <c r="N135" s="111">
        <v>31110</v>
      </c>
      <c r="O135" s="111">
        <v>30980</v>
      </c>
      <c r="P135" s="111">
        <v>30360</v>
      </c>
      <c r="Q135" s="111">
        <v>31350</v>
      </c>
      <c r="R135" s="111">
        <v>31790</v>
      </c>
      <c r="S135" s="111">
        <v>33220</v>
      </c>
      <c r="T135" s="111">
        <v>33670</v>
      </c>
    </row>
    <row r="136" spans="1:20" ht="12.75">
      <c r="A136" s="113" t="s">
        <v>39</v>
      </c>
      <c r="B136" s="11"/>
      <c r="C136" s="111">
        <v>31240</v>
      </c>
      <c r="D136" s="111">
        <v>30190</v>
      </c>
      <c r="E136" s="111">
        <v>29020</v>
      </c>
      <c r="F136" s="111">
        <v>27900</v>
      </c>
      <c r="G136" s="111">
        <v>28160</v>
      </c>
      <c r="H136" s="111">
        <v>27960</v>
      </c>
      <c r="I136" s="111">
        <v>29070</v>
      </c>
      <c r="J136" s="111">
        <v>29350</v>
      </c>
      <c r="K136" s="111">
        <v>29840</v>
      </c>
      <c r="L136" s="111">
        <v>30470</v>
      </c>
      <c r="M136" s="111">
        <v>31300</v>
      </c>
      <c r="N136" s="111">
        <v>31340</v>
      </c>
      <c r="O136" s="111">
        <v>31370</v>
      </c>
      <c r="P136" s="111">
        <v>31240</v>
      </c>
      <c r="Q136" s="111">
        <v>30620</v>
      </c>
      <c r="R136" s="111">
        <v>31610</v>
      </c>
      <c r="S136" s="111">
        <v>32050</v>
      </c>
      <c r="T136" s="111">
        <v>33480</v>
      </c>
    </row>
    <row r="137" spans="1:20" ht="12.75">
      <c r="A137" s="113" t="s">
        <v>40</v>
      </c>
      <c r="B137" s="11"/>
      <c r="C137" s="111">
        <v>32740</v>
      </c>
      <c r="D137" s="111">
        <v>31420</v>
      </c>
      <c r="E137" s="111">
        <v>30320</v>
      </c>
      <c r="F137" s="111">
        <v>29230</v>
      </c>
      <c r="G137" s="111">
        <v>28150</v>
      </c>
      <c r="H137" s="111">
        <v>28380</v>
      </c>
      <c r="I137" s="111">
        <v>28180</v>
      </c>
      <c r="J137" s="111">
        <v>29280</v>
      </c>
      <c r="K137" s="111">
        <v>29570</v>
      </c>
      <c r="L137" s="111">
        <v>30050</v>
      </c>
      <c r="M137" s="111">
        <v>30690</v>
      </c>
      <c r="N137" s="111">
        <v>31520</v>
      </c>
      <c r="O137" s="111">
        <v>31560</v>
      </c>
      <c r="P137" s="111">
        <v>31590</v>
      </c>
      <c r="Q137" s="111">
        <v>31460</v>
      </c>
      <c r="R137" s="111">
        <v>30840</v>
      </c>
      <c r="S137" s="111">
        <v>31830</v>
      </c>
      <c r="T137" s="111">
        <v>32270</v>
      </c>
    </row>
    <row r="138" spans="1:20" ht="12.75">
      <c r="A138" s="113" t="s">
        <v>41</v>
      </c>
      <c r="B138" s="11"/>
      <c r="C138" s="111">
        <v>33360</v>
      </c>
      <c r="D138" s="111">
        <v>32920</v>
      </c>
      <c r="E138" s="111">
        <v>31490</v>
      </c>
      <c r="F138" s="111">
        <v>30520</v>
      </c>
      <c r="G138" s="111">
        <v>29460</v>
      </c>
      <c r="H138" s="111">
        <v>28350</v>
      </c>
      <c r="I138" s="111">
        <v>28570</v>
      </c>
      <c r="J138" s="111">
        <v>28380</v>
      </c>
      <c r="K138" s="111">
        <v>29480</v>
      </c>
      <c r="L138" s="111">
        <v>29760</v>
      </c>
      <c r="M138" s="111">
        <v>30250</v>
      </c>
      <c r="N138" s="111">
        <v>30890</v>
      </c>
      <c r="O138" s="111">
        <v>31710</v>
      </c>
      <c r="P138" s="111">
        <v>31750</v>
      </c>
      <c r="Q138" s="111">
        <v>31790</v>
      </c>
      <c r="R138" s="111">
        <v>31650</v>
      </c>
      <c r="S138" s="111">
        <v>31040</v>
      </c>
      <c r="T138" s="111">
        <v>32030</v>
      </c>
    </row>
    <row r="139" spans="1:20" ht="12.75">
      <c r="A139" s="113" t="s">
        <v>42</v>
      </c>
      <c r="B139" s="11"/>
      <c r="C139" s="111">
        <v>32520</v>
      </c>
      <c r="D139" s="111">
        <v>33540</v>
      </c>
      <c r="E139" s="111">
        <v>33010</v>
      </c>
      <c r="F139" s="111">
        <v>31670</v>
      </c>
      <c r="G139" s="111">
        <v>30720</v>
      </c>
      <c r="H139" s="111">
        <v>29640</v>
      </c>
      <c r="I139" s="111">
        <v>28520</v>
      </c>
      <c r="J139" s="111">
        <v>28750</v>
      </c>
      <c r="K139" s="111">
        <v>28550</v>
      </c>
      <c r="L139" s="111">
        <v>29660</v>
      </c>
      <c r="M139" s="111">
        <v>29940</v>
      </c>
      <c r="N139" s="111">
        <v>30430</v>
      </c>
      <c r="O139" s="111">
        <v>31060</v>
      </c>
      <c r="P139" s="111">
        <v>31890</v>
      </c>
      <c r="Q139" s="111">
        <v>31930</v>
      </c>
      <c r="R139" s="111">
        <v>31960</v>
      </c>
      <c r="S139" s="111">
        <v>31830</v>
      </c>
      <c r="T139" s="111">
        <v>31220</v>
      </c>
    </row>
    <row r="140" spans="1:20" ht="12.75">
      <c r="A140" s="113" t="s">
        <v>43</v>
      </c>
      <c r="B140" s="11"/>
      <c r="C140" s="111">
        <v>32870</v>
      </c>
      <c r="D140" s="111">
        <v>32650</v>
      </c>
      <c r="E140" s="111">
        <v>33590</v>
      </c>
      <c r="F140" s="111">
        <v>33160</v>
      </c>
      <c r="G140" s="111">
        <v>31850</v>
      </c>
      <c r="H140" s="111">
        <v>30880</v>
      </c>
      <c r="I140" s="111">
        <v>29790</v>
      </c>
      <c r="J140" s="111">
        <v>28680</v>
      </c>
      <c r="K140" s="111">
        <v>28910</v>
      </c>
      <c r="L140" s="111">
        <v>28710</v>
      </c>
      <c r="M140" s="111">
        <v>29810</v>
      </c>
      <c r="N140" s="111">
        <v>30090</v>
      </c>
      <c r="O140" s="111">
        <v>30580</v>
      </c>
      <c r="P140" s="111">
        <v>31220</v>
      </c>
      <c r="Q140" s="111">
        <v>32050</v>
      </c>
      <c r="R140" s="111">
        <v>32090</v>
      </c>
      <c r="S140" s="111">
        <v>32120</v>
      </c>
      <c r="T140" s="111">
        <v>31990</v>
      </c>
    </row>
    <row r="141" spans="1:20" ht="12.75">
      <c r="A141" s="113" t="s">
        <v>44</v>
      </c>
      <c r="B141" s="11"/>
      <c r="C141" s="111">
        <v>32450</v>
      </c>
      <c r="D141" s="111">
        <v>32970</v>
      </c>
      <c r="E141" s="111">
        <v>32650</v>
      </c>
      <c r="F141" s="111">
        <v>33720</v>
      </c>
      <c r="G141" s="111">
        <v>33320</v>
      </c>
      <c r="H141" s="111">
        <v>31980</v>
      </c>
      <c r="I141" s="111">
        <v>31010</v>
      </c>
      <c r="J141" s="111">
        <v>29920</v>
      </c>
      <c r="K141" s="111">
        <v>28810</v>
      </c>
      <c r="L141" s="111">
        <v>29040</v>
      </c>
      <c r="M141" s="111">
        <v>28840</v>
      </c>
      <c r="N141" s="111">
        <v>29950</v>
      </c>
      <c r="O141" s="111">
        <v>30230</v>
      </c>
      <c r="P141" s="111">
        <v>30720</v>
      </c>
      <c r="Q141" s="111">
        <v>31350</v>
      </c>
      <c r="R141" s="111">
        <v>32180</v>
      </c>
      <c r="S141" s="111">
        <v>32220</v>
      </c>
      <c r="T141" s="111">
        <v>32250</v>
      </c>
    </row>
    <row r="142" spans="1:20" ht="12.75">
      <c r="A142" s="113" t="s">
        <v>45</v>
      </c>
      <c r="B142" s="11"/>
      <c r="C142" s="111">
        <v>32220</v>
      </c>
      <c r="D142" s="111">
        <v>32520</v>
      </c>
      <c r="E142" s="111">
        <v>32990</v>
      </c>
      <c r="F142" s="111">
        <v>32760</v>
      </c>
      <c r="G142" s="111">
        <v>33860</v>
      </c>
      <c r="H142" s="111">
        <v>33430</v>
      </c>
      <c r="I142" s="111">
        <v>32090</v>
      </c>
      <c r="J142" s="111">
        <v>31120</v>
      </c>
      <c r="K142" s="111">
        <v>30040</v>
      </c>
      <c r="L142" s="111">
        <v>28930</v>
      </c>
      <c r="M142" s="111">
        <v>29160</v>
      </c>
      <c r="N142" s="111">
        <v>28960</v>
      </c>
      <c r="O142" s="111">
        <v>30060</v>
      </c>
      <c r="P142" s="111">
        <v>30350</v>
      </c>
      <c r="Q142" s="111">
        <v>30830</v>
      </c>
      <c r="R142" s="111">
        <v>31470</v>
      </c>
      <c r="S142" s="111">
        <v>32300</v>
      </c>
      <c r="T142" s="111">
        <v>32340</v>
      </c>
    </row>
    <row r="143" spans="1:20" ht="12.75">
      <c r="A143" s="113" t="s">
        <v>46</v>
      </c>
      <c r="B143" s="11"/>
      <c r="C143" s="111">
        <v>32020</v>
      </c>
      <c r="D143" s="111">
        <v>32260</v>
      </c>
      <c r="E143" s="111">
        <v>32540</v>
      </c>
      <c r="F143" s="111">
        <v>33080</v>
      </c>
      <c r="G143" s="111">
        <v>32890</v>
      </c>
      <c r="H143" s="111">
        <v>33960</v>
      </c>
      <c r="I143" s="111">
        <v>33530</v>
      </c>
      <c r="J143" s="111">
        <v>32190</v>
      </c>
      <c r="K143" s="111">
        <v>31220</v>
      </c>
      <c r="L143" s="111">
        <v>30140</v>
      </c>
      <c r="M143" s="111">
        <v>29030</v>
      </c>
      <c r="N143" s="111">
        <v>29260</v>
      </c>
      <c r="O143" s="111">
        <v>29060</v>
      </c>
      <c r="P143" s="111">
        <v>30160</v>
      </c>
      <c r="Q143" s="111">
        <v>30450</v>
      </c>
      <c r="R143" s="111">
        <v>30930</v>
      </c>
      <c r="S143" s="111">
        <v>31570</v>
      </c>
      <c r="T143" s="111">
        <v>32400</v>
      </c>
    </row>
    <row r="144" spans="1:20" ht="12.75">
      <c r="A144" s="113" t="s">
        <v>47</v>
      </c>
      <c r="B144" s="11"/>
      <c r="C144" s="111">
        <v>32420</v>
      </c>
      <c r="D144" s="111">
        <v>32090</v>
      </c>
      <c r="E144" s="111">
        <v>32260</v>
      </c>
      <c r="F144" s="111">
        <v>32610</v>
      </c>
      <c r="G144" s="111">
        <v>33180</v>
      </c>
      <c r="H144" s="111">
        <v>32960</v>
      </c>
      <c r="I144" s="111">
        <v>34030</v>
      </c>
      <c r="J144" s="111">
        <v>33600</v>
      </c>
      <c r="K144" s="111">
        <v>32260</v>
      </c>
      <c r="L144" s="111">
        <v>31300</v>
      </c>
      <c r="M144" s="111">
        <v>30210</v>
      </c>
      <c r="N144" s="111">
        <v>29110</v>
      </c>
      <c r="O144" s="111">
        <v>29340</v>
      </c>
      <c r="P144" s="111">
        <v>29140</v>
      </c>
      <c r="Q144" s="111">
        <v>30240</v>
      </c>
      <c r="R144" s="111">
        <v>30520</v>
      </c>
      <c r="S144" s="111">
        <v>31010</v>
      </c>
      <c r="T144" s="111">
        <v>31650</v>
      </c>
    </row>
    <row r="145" spans="1:20" ht="12.75">
      <c r="A145" s="113" t="s">
        <v>48</v>
      </c>
      <c r="B145" s="11"/>
      <c r="C145" s="111">
        <v>33510</v>
      </c>
      <c r="D145" s="111">
        <v>32500</v>
      </c>
      <c r="E145" s="111">
        <v>32090</v>
      </c>
      <c r="F145" s="111">
        <v>32310</v>
      </c>
      <c r="G145" s="111">
        <v>32690</v>
      </c>
      <c r="H145" s="111">
        <v>33220</v>
      </c>
      <c r="I145" s="111">
        <v>33010</v>
      </c>
      <c r="J145" s="111">
        <v>34070</v>
      </c>
      <c r="K145" s="111">
        <v>33650</v>
      </c>
      <c r="L145" s="111">
        <v>32310</v>
      </c>
      <c r="M145" s="111">
        <v>31350</v>
      </c>
      <c r="N145" s="111">
        <v>30270</v>
      </c>
      <c r="O145" s="111">
        <v>29160</v>
      </c>
      <c r="P145" s="111">
        <v>29390</v>
      </c>
      <c r="Q145" s="111">
        <v>29200</v>
      </c>
      <c r="R145" s="111">
        <v>30290</v>
      </c>
      <c r="S145" s="111">
        <v>30580</v>
      </c>
      <c r="T145" s="111">
        <v>31070</v>
      </c>
    </row>
    <row r="146" spans="1:20" ht="12.75">
      <c r="A146" s="113" t="s">
        <v>49</v>
      </c>
      <c r="B146" s="11"/>
      <c r="C146" s="111">
        <v>34420</v>
      </c>
      <c r="D146" s="111">
        <v>33540</v>
      </c>
      <c r="E146" s="111">
        <v>32420</v>
      </c>
      <c r="F146" s="111">
        <v>32110</v>
      </c>
      <c r="G146" s="111">
        <v>32360</v>
      </c>
      <c r="H146" s="111">
        <v>32710</v>
      </c>
      <c r="I146" s="111">
        <v>33250</v>
      </c>
      <c r="J146" s="111">
        <v>33030</v>
      </c>
      <c r="K146" s="111">
        <v>34100</v>
      </c>
      <c r="L146" s="111">
        <v>33670</v>
      </c>
      <c r="M146" s="111">
        <v>32340</v>
      </c>
      <c r="N146" s="111">
        <v>31380</v>
      </c>
      <c r="O146" s="111">
        <v>30300</v>
      </c>
      <c r="P146" s="111">
        <v>29190</v>
      </c>
      <c r="Q146" s="111">
        <v>29420</v>
      </c>
      <c r="R146" s="111">
        <v>29230</v>
      </c>
      <c r="S146" s="111">
        <v>30330</v>
      </c>
      <c r="T146" s="111">
        <v>30610</v>
      </c>
    </row>
    <row r="147" spans="1:20" ht="12.75">
      <c r="A147" s="113" t="s">
        <v>50</v>
      </c>
      <c r="B147" s="11"/>
      <c r="C147" s="111">
        <v>34170</v>
      </c>
      <c r="D147" s="111">
        <v>34440</v>
      </c>
      <c r="E147" s="111">
        <v>33430</v>
      </c>
      <c r="F147" s="111">
        <v>32420</v>
      </c>
      <c r="G147" s="111">
        <v>32140</v>
      </c>
      <c r="H147" s="111">
        <v>32360</v>
      </c>
      <c r="I147" s="111">
        <v>32720</v>
      </c>
      <c r="J147" s="111">
        <v>33250</v>
      </c>
      <c r="K147" s="111">
        <v>33040</v>
      </c>
      <c r="L147" s="111">
        <v>34100</v>
      </c>
      <c r="M147" s="111">
        <v>33680</v>
      </c>
      <c r="N147" s="111">
        <v>32350</v>
      </c>
      <c r="O147" s="111">
        <v>31380</v>
      </c>
      <c r="P147" s="111">
        <v>30310</v>
      </c>
      <c r="Q147" s="111">
        <v>29200</v>
      </c>
      <c r="R147" s="111">
        <v>29440</v>
      </c>
      <c r="S147" s="111">
        <v>29240</v>
      </c>
      <c r="T147" s="111">
        <v>30340</v>
      </c>
    </row>
    <row r="148" spans="1:20" ht="12.75">
      <c r="A148" s="113" t="s">
        <v>51</v>
      </c>
      <c r="B148" s="11"/>
      <c r="C148" s="111">
        <v>33510</v>
      </c>
      <c r="D148" s="111">
        <v>34140</v>
      </c>
      <c r="E148" s="111">
        <v>34280</v>
      </c>
      <c r="F148" s="111">
        <v>33410</v>
      </c>
      <c r="G148" s="111">
        <v>32430</v>
      </c>
      <c r="H148" s="111">
        <v>32120</v>
      </c>
      <c r="I148" s="111">
        <v>32350</v>
      </c>
      <c r="J148" s="111">
        <v>32700</v>
      </c>
      <c r="K148" s="111">
        <v>33240</v>
      </c>
      <c r="L148" s="111">
        <v>33020</v>
      </c>
      <c r="M148" s="111">
        <v>34090</v>
      </c>
      <c r="N148" s="111">
        <v>33660</v>
      </c>
      <c r="O148" s="111">
        <v>32340</v>
      </c>
      <c r="P148" s="111">
        <v>31370</v>
      </c>
      <c r="Q148" s="111">
        <v>30300</v>
      </c>
      <c r="R148" s="111">
        <v>29200</v>
      </c>
      <c r="S148" s="111">
        <v>29430</v>
      </c>
      <c r="T148" s="111">
        <v>29240</v>
      </c>
    </row>
    <row r="149" spans="1:20" ht="12.75">
      <c r="A149" s="113" t="s">
        <v>52</v>
      </c>
      <c r="B149" s="11"/>
      <c r="C149" s="111">
        <v>31920</v>
      </c>
      <c r="D149" s="111">
        <v>33490</v>
      </c>
      <c r="E149" s="111">
        <v>34040</v>
      </c>
      <c r="F149" s="111">
        <v>34240</v>
      </c>
      <c r="G149" s="111">
        <v>33400</v>
      </c>
      <c r="H149" s="111">
        <v>32400</v>
      </c>
      <c r="I149" s="111">
        <v>32090</v>
      </c>
      <c r="J149" s="111">
        <v>32310</v>
      </c>
      <c r="K149" s="111">
        <v>32670</v>
      </c>
      <c r="L149" s="111">
        <v>33200</v>
      </c>
      <c r="M149" s="111">
        <v>32990</v>
      </c>
      <c r="N149" s="111">
        <v>34050</v>
      </c>
      <c r="O149" s="111">
        <v>33630</v>
      </c>
      <c r="P149" s="111">
        <v>32310</v>
      </c>
      <c r="Q149" s="111">
        <v>31350</v>
      </c>
      <c r="R149" s="111">
        <v>30280</v>
      </c>
      <c r="S149" s="111">
        <v>29180</v>
      </c>
      <c r="T149" s="111">
        <v>29410</v>
      </c>
    </row>
    <row r="150" spans="1:20" ht="12.75">
      <c r="A150" s="113" t="s">
        <v>53</v>
      </c>
      <c r="B150" s="11"/>
      <c r="C150" s="111">
        <v>31370</v>
      </c>
      <c r="D150" s="111">
        <v>31850</v>
      </c>
      <c r="E150" s="111">
        <v>33360</v>
      </c>
      <c r="F150" s="111">
        <v>33980</v>
      </c>
      <c r="G150" s="111">
        <v>34210</v>
      </c>
      <c r="H150" s="111">
        <v>33340</v>
      </c>
      <c r="I150" s="111">
        <v>32340</v>
      </c>
      <c r="J150" s="111">
        <v>32040</v>
      </c>
      <c r="K150" s="111">
        <v>32260</v>
      </c>
      <c r="L150" s="111">
        <v>32620</v>
      </c>
      <c r="M150" s="111">
        <v>33150</v>
      </c>
      <c r="N150" s="111">
        <v>32940</v>
      </c>
      <c r="O150" s="111">
        <v>34000</v>
      </c>
      <c r="P150" s="111">
        <v>33580</v>
      </c>
      <c r="Q150" s="111">
        <v>32260</v>
      </c>
      <c r="R150" s="111">
        <v>31300</v>
      </c>
      <c r="S150" s="111">
        <v>30230</v>
      </c>
      <c r="T150" s="111">
        <v>29130</v>
      </c>
    </row>
    <row r="151" spans="1:20" ht="12.75">
      <c r="A151" s="113" t="s">
        <v>54</v>
      </c>
      <c r="B151" s="11"/>
      <c r="C151" s="111">
        <v>29970</v>
      </c>
      <c r="D151" s="111">
        <v>31260</v>
      </c>
      <c r="E151" s="111">
        <v>31700</v>
      </c>
      <c r="F151" s="111">
        <v>33270</v>
      </c>
      <c r="G151" s="111">
        <v>33930</v>
      </c>
      <c r="H151" s="111">
        <v>34130</v>
      </c>
      <c r="I151" s="111">
        <v>33260</v>
      </c>
      <c r="J151" s="111">
        <v>32270</v>
      </c>
      <c r="K151" s="111">
        <v>31960</v>
      </c>
      <c r="L151" s="111">
        <v>32190</v>
      </c>
      <c r="M151" s="111">
        <v>32540</v>
      </c>
      <c r="N151" s="111">
        <v>33080</v>
      </c>
      <c r="O151" s="111">
        <v>32870</v>
      </c>
      <c r="P151" s="111">
        <v>33930</v>
      </c>
      <c r="Q151" s="111">
        <v>33510</v>
      </c>
      <c r="R151" s="111">
        <v>32190</v>
      </c>
      <c r="S151" s="111">
        <v>31240</v>
      </c>
      <c r="T151" s="111">
        <v>30170</v>
      </c>
    </row>
    <row r="152" spans="1:20" ht="12.75">
      <c r="A152" s="113" t="s">
        <v>55</v>
      </c>
      <c r="B152" s="11"/>
      <c r="C152" s="111">
        <v>29280</v>
      </c>
      <c r="D152" s="111">
        <v>29840</v>
      </c>
      <c r="E152" s="111">
        <v>31140</v>
      </c>
      <c r="F152" s="111">
        <v>31600</v>
      </c>
      <c r="G152" s="111">
        <v>33210</v>
      </c>
      <c r="H152" s="111">
        <v>33830</v>
      </c>
      <c r="I152" s="111">
        <v>34040</v>
      </c>
      <c r="J152" s="111">
        <v>33170</v>
      </c>
      <c r="K152" s="111">
        <v>32180</v>
      </c>
      <c r="L152" s="111">
        <v>31880</v>
      </c>
      <c r="M152" s="111">
        <v>32100</v>
      </c>
      <c r="N152" s="111">
        <v>32460</v>
      </c>
      <c r="O152" s="111">
        <v>32990</v>
      </c>
      <c r="P152" s="111">
        <v>32780</v>
      </c>
      <c r="Q152" s="111">
        <v>33840</v>
      </c>
      <c r="R152" s="111">
        <v>33430</v>
      </c>
      <c r="S152" s="111">
        <v>32110</v>
      </c>
      <c r="T152" s="111">
        <v>31160</v>
      </c>
    </row>
    <row r="153" spans="1:20" ht="12.75">
      <c r="A153" s="113" t="s">
        <v>56</v>
      </c>
      <c r="B153" s="11"/>
      <c r="C153" s="111">
        <v>28580</v>
      </c>
      <c r="D153" s="111">
        <v>29140</v>
      </c>
      <c r="E153" s="111">
        <v>29700</v>
      </c>
      <c r="F153" s="111">
        <v>31030</v>
      </c>
      <c r="G153" s="111">
        <v>31520</v>
      </c>
      <c r="H153" s="111">
        <v>33100</v>
      </c>
      <c r="I153" s="111">
        <v>33720</v>
      </c>
      <c r="J153" s="111">
        <v>33930</v>
      </c>
      <c r="K153" s="111">
        <v>33070</v>
      </c>
      <c r="L153" s="111">
        <v>32080</v>
      </c>
      <c r="M153" s="111">
        <v>31780</v>
      </c>
      <c r="N153" s="111">
        <v>32000</v>
      </c>
      <c r="O153" s="111">
        <v>32360</v>
      </c>
      <c r="P153" s="111">
        <v>32890</v>
      </c>
      <c r="Q153" s="111">
        <v>32690</v>
      </c>
      <c r="R153" s="111">
        <v>33750</v>
      </c>
      <c r="S153" s="111">
        <v>33330</v>
      </c>
      <c r="T153" s="111">
        <v>32020</v>
      </c>
    </row>
    <row r="154" spans="1:20" ht="12.75">
      <c r="A154" s="113" t="s">
        <v>57</v>
      </c>
      <c r="B154" s="11"/>
      <c r="C154" s="111">
        <v>27550</v>
      </c>
      <c r="D154" s="111">
        <v>28470</v>
      </c>
      <c r="E154" s="111">
        <v>29000</v>
      </c>
      <c r="F154" s="111">
        <v>29590</v>
      </c>
      <c r="G154" s="111">
        <v>30940</v>
      </c>
      <c r="H154" s="111">
        <v>31410</v>
      </c>
      <c r="I154" s="111">
        <v>32980</v>
      </c>
      <c r="J154" s="111">
        <v>33610</v>
      </c>
      <c r="K154" s="111">
        <v>33820</v>
      </c>
      <c r="L154" s="111">
        <v>32960</v>
      </c>
      <c r="M154" s="111">
        <v>31970</v>
      </c>
      <c r="N154" s="111">
        <v>31670</v>
      </c>
      <c r="O154" s="111">
        <v>31900</v>
      </c>
      <c r="P154" s="111">
        <v>32250</v>
      </c>
      <c r="Q154" s="111">
        <v>32790</v>
      </c>
      <c r="R154" s="111">
        <v>32580</v>
      </c>
      <c r="S154" s="111">
        <v>33640</v>
      </c>
      <c r="T154" s="111">
        <v>33230</v>
      </c>
    </row>
    <row r="155" spans="1:20" ht="12.75">
      <c r="A155" s="113" t="s">
        <v>58</v>
      </c>
      <c r="B155" s="11"/>
      <c r="C155" s="111">
        <v>26780</v>
      </c>
      <c r="D155" s="111">
        <v>27410</v>
      </c>
      <c r="E155" s="111">
        <v>28320</v>
      </c>
      <c r="F155" s="111">
        <v>28880</v>
      </c>
      <c r="G155" s="111">
        <v>29500</v>
      </c>
      <c r="H155" s="111">
        <v>30830</v>
      </c>
      <c r="I155" s="111">
        <v>31290</v>
      </c>
      <c r="J155" s="111">
        <v>32860</v>
      </c>
      <c r="K155" s="111">
        <v>33490</v>
      </c>
      <c r="L155" s="111">
        <v>33700</v>
      </c>
      <c r="M155" s="111">
        <v>32840</v>
      </c>
      <c r="N155" s="111">
        <v>31860</v>
      </c>
      <c r="O155" s="111">
        <v>31560</v>
      </c>
      <c r="P155" s="111">
        <v>31790</v>
      </c>
      <c r="Q155" s="111">
        <v>32150</v>
      </c>
      <c r="R155" s="111">
        <v>32680</v>
      </c>
      <c r="S155" s="111">
        <v>32470</v>
      </c>
      <c r="T155" s="111">
        <v>33530</v>
      </c>
    </row>
    <row r="156" spans="1:20" ht="12.75">
      <c r="A156" s="113" t="s">
        <v>59</v>
      </c>
      <c r="B156" s="11"/>
      <c r="C156" s="111">
        <v>25610</v>
      </c>
      <c r="D156" s="111">
        <v>26650</v>
      </c>
      <c r="E156" s="111">
        <v>27270</v>
      </c>
      <c r="F156" s="111">
        <v>28200</v>
      </c>
      <c r="G156" s="111">
        <v>28790</v>
      </c>
      <c r="H156" s="111">
        <v>29390</v>
      </c>
      <c r="I156" s="111">
        <v>30710</v>
      </c>
      <c r="J156" s="111">
        <v>31180</v>
      </c>
      <c r="K156" s="111">
        <v>32740</v>
      </c>
      <c r="L156" s="111">
        <v>33370</v>
      </c>
      <c r="M156" s="111">
        <v>33580</v>
      </c>
      <c r="N156" s="111">
        <v>32730</v>
      </c>
      <c r="O156" s="111">
        <v>31750</v>
      </c>
      <c r="P156" s="111">
        <v>31450</v>
      </c>
      <c r="Q156" s="111">
        <v>31680</v>
      </c>
      <c r="R156" s="111">
        <v>32040</v>
      </c>
      <c r="S156" s="111">
        <v>32570</v>
      </c>
      <c r="T156" s="111">
        <v>32370</v>
      </c>
    </row>
    <row r="157" spans="1:20" ht="12.75">
      <c r="A157" s="113" t="s">
        <v>60</v>
      </c>
      <c r="B157" s="11"/>
      <c r="C157" s="111">
        <v>25210</v>
      </c>
      <c r="D157" s="111">
        <v>25480</v>
      </c>
      <c r="E157" s="111">
        <v>26510</v>
      </c>
      <c r="F157" s="111">
        <v>27160</v>
      </c>
      <c r="G157" s="111">
        <v>28110</v>
      </c>
      <c r="H157" s="111">
        <v>28680</v>
      </c>
      <c r="I157" s="111">
        <v>29270</v>
      </c>
      <c r="J157" s="111">
        <v>30600</v>
      </c>
      <c r="K157" s="111">
        <v>31060</v>
      </c>
      <c r="L157" s="111">
        <v>32630</v>
      </c>
      <c r="M157" s="111">
        <v>33250</v>
      </c>
      <c r="N157" s="111">
        <v>33460</v>
      </c>
      <c r="O157" s="111">
        <v>32610</v>
      </c>
      <c r="P157" s="111">
        <v>31640</v>
      </c>
      <c r="Q157" s="111">
        <v>31340</v>
      </c>
      <c r="R157" s="111">
        <v>31570</v>
      </c>
      <c r="S157" s="111">
        <v>31930</v>
      </c>
      <c r="T157" s="111">
        <v>32470</v>
      </c>
    </row>
    <row r="158" spans="1:20" ht="12.75">
      <c r="A158" s="113" t="s">
        <v>61</v>
      </c>
      <c r="B158" s="11"/>
      <c r="C158" s="111">
        <v>24770</v>
      </c>
      <c r="D158" s="111">
        <v>25080</v>
      </c>
      <c r="E158" s="111">
        <v>25380</v>
      </c>
      <c r="F158" s="111">
        <v>26400</v>
      </c>
      <c r="G158" s="111">
        <v>27070</v>
      </c>
      <c r="H158" s="111">
        <v>28000</v>
      </c>
      <c r="I158" s="111">
        <v>28570</v>
      </c>
      <c r="J158" s="111">
        <v>29170</v>
      </c>
      <c r="K158" s="111">
        <v>30490</v>
      </c>
      <c r="L158" s="111">
        <v>30950</v>
      </c>
      <c r="M158" s="111">
        <v>32510</v>
      </c>
      <c r="N158" s="111">
        <v>33140</v>
      </c>
      <c r="O158" s="111">
        <v>33350</v>
      </c>
      <c r="P158" s="111">
        <v>32510</v>
      </c>
      <c r="Q158" s="111">
        <v>31530</v>
      </c>
      <c r="R158" s="111">
        <v>31240</v>
      </c>
      <c r="S158" s="111">
        <v>31470</v>
      </c>
      <c r="T158" s="111">
        <v>31830</v>
      </c>
    </row>
    <row r="159" spans="1:20" ht="12.75">
      <c r="A159" s="113" t="s">
        <v>62</v>
      </c>
      <c r="B159" s="11"/>
      <c r="C159" s="111">
        <v>24930</v>
      </c>
      <c r="D159" s="111">
        <v>24700</v>
      </c>
      <c r="E159" s="111">
        <v>24950</v>
      </c>
      <c r="F159" s="111">
        <v>25290</v>
      </c>
      <c r="G159" s="111">
        <v>26320</v>
      </c>
      <c r="H159" s="111">
        <v>26980</v>
      </c>
      <c r="I159" s="111">
        <v>27910</v>
      </c>
      <c r="J159" s="111">
        <v>28470</v>
      </c>
      <c r="K159" s="111">
        <v>29070</v>
      </c>
      <c r="L159" s="111">
        <v>30380</v>
      </c>
      <c r="M159" s="111">
        <v>30850</v>
      </c>
      <c r="N159" s="111">
        <v>32410</v>
      </c>
      <c r="O159" s="111">
        <v>33040</v>
      </c>
      <c r="P159" s="111">
        <v>33250</v>
      </c>
      <c r="Q159" s="111">
        <v>32410</v>
      </c>
      <c r="R159" s="111">
        <v>31440</v>
      </c>
      <c r="S159" s="111">
        <v>31150</v>
      </c>
      <c r="T159" s="111">
        <v>31380</v>
      </c>
    </row>
    <row r="160" spans="1:20" ht="12.75">
      <c r="A160" s="113" t="s">
        <v>63</v>
      </c>
      <c r="B160" s="11"/>
      <c r="C160" s="111">
        <v>24090</v>
      </c>
      <c r="D160" s="111">
        <v>24820</v>
      </c>
      <c r="E160" s="111">
        <v>24600</v>
      </c>
      <c r="F160" s="111">
        <v>24860</v>
      </c>
      <c r="G160" s="111">
        <v>25210</v>
      </c>
      <c r="H160" s="111">
        <v>26230</v>
      </c>
      <c r="I160" s="111">
        <v>26880</v>
      </c>
      <c r="J160" s="111">
        <v>27810</v>
      </c>
      <c r="K160" s="111">
        <v>28370</v>
      </c>
      <c r="L160" s="111">
        <v>28970</v>
      </c>
      <c r="M160" s="111">
        <v>30290</v>
      </c>
      <c r="N160" s="111">
        <v>30750</v>
      </c>
      <c r="O160" s="111">
        <v>32310</v>
      </c>
      <c r="P160" s="111">
        <v>32940</v>
      </c>
      <c r="Q160" s="111">
        <v>33150</v>
      </c>
      <c r="R160" s="111">
        <v>32310</v>
      </c>
      <c r="S160" s="111">
        <v>31350</v>
      </c>
      <c r="T160" s="111">
        <v>31060</v>
      </c>
    </row>
    <row r="161" spans="1:20" ht="12.75">
      <c r="A161" s="113" t="s">
        <v>64</v>
      </c>
      <c r="B161" s="11"/>
      <c r="C161" s="111">
        <v>24480</v>
      </c>
      <c r="D161" s="111">
        <v>24010</v>
      </c>
      <c r="E161" s="111">
        <v>24690</v>
      </c>
      <c r="F161" s="111">
        <v>24510</v>
      </c>
      <c r="G161" s="111">
        <v>24780</v>
      </c>
      <c r="H161" s="111">
        <v>25130</v>
      </c>
      <c r="I161" s="111">
        <v>26140</v>
      </c>
      <c r="J161" s="111">
        <v>26790</v>
      </c>
      <c r="K161" s="111">
        <v>27720</v>
      </c>
      <c r="L161" s="111">
        <v>28280</v>
      </c>
      <c r="M161" s="111">
        <v>28880</v>
      </c>
      <c r="N161" s="111">
        <v>30190</v>
      </c>
      <c r="O161" s="111">
        <v>30660</v>
      </c>
      <c r="P161" s="111">
        <v>32210</v>
      </c>
      <c r="Q161" s="111">
        <v>32840</v>
      </c>
      <c r="R161" s="111">
        <v>33050</v>
      </c>
      <c r="S161" s="111">
        <v>32220</v>
      </c>
      <c r="T161" s="111">
        <v>31260</v>
      </c>
    </row>
    <row r="162" spans="1:20" ht="12.75">
      <c r="A162" s="113" t="s">
        <v>65</v>
      </c>
      <c r="B162" s="11"/>
      <c r="C162" s="111">
        <v>24660</v>
      </c>
      <c r="D162" s="111">
        <v>24420</v>
      </c>
      <c r="E162" s="111">
        <v>23890</v>
      </c>
      <c r="F162" s="111">
        <v>24610</v>
      </c>
      <c r="G162" s="111">
        <v>24440</v>
      </c>
      <c r="H162" s="111">
        <v>24700</v>
      </c>
      <c r="I162" s="111">
        <v>25050</v>
      </c>
      <c r="J162" s="111">
        <v>26050</v>
      </c>
      <c r="K162" s="111">
        <v>26710</v>
      </c>
      <c r="L162" s="111">
        <v>27630</v>
      </c>
      <c r="M162" s="111">
        <v>28200</v>
      </c>
      <c r="N162" s="111">
        <v>28790</v>
      </c>
      <c r="O162" s="111">
        <v>30100</v>
      </c>
      <c r="P162" s="111">
        <v>30570</v>
      </c>
      <c r="Q162" s="111">
        <v>32120</v>
      </c>
      <c r="R162" s="111">
        <v>32740</v>
      </c>
      <c r="S162" s="111">
        <v>32960</v>
      </c>
      <c r="T162" s="111">
        <v>32130</v>
      </c>
    </row>
    <row r="163" spans="1:20" ht="12.75">
      <c r="A163" s="113" t="s">
        <v>66</v>
      </c>
      <c r="B163" s="11"/>
      <c r="C163" s="111">
        <v>20800</v>
      </c>
      <c r="D163" s="111">
        <v>24590</v>
      </c>
      <c r="E163" s="111">
        <v>24360</v>
      </c>
      <c r="F163" s="111">
        <v>23810</v>
      </c>
      <c r="G163" s="111">
        <v>24530</v>
      </c>
      <c r="H163" s="111">
        <v>24360</v>
      </c>
      <c r="I163" s="111">
        <v>24620</v>
      </c>
      <c r="J163" s="111">
        <v>24970</v>
      </c>
      <c r="K163" s="111">
        <v>25970</v>
      </c>
      <c r="L163" s="111">
        <v>26620</v>
      </c>
      <c r="M163" s="111">
        <v>27550</v>
      </c>
      <c r="N163" s="111">
        <v>28110</v>
      </c>
      <c r="O163" s="111">
        <v>28710</v>
      </c>
      <c r="P163" s="111">
        <v>30010</v>
      </c>
      <c r="Q163" s="111">
        <v>30480</v>
      </c>
      <c r="R163" s="111">
        <v>32020</v>
      </c>
      <c r="S163" s="111">
        <v>32650</v>
      </c>
      <c r="T163" s="111">
        <v>32860</v>
      </c>
    </row>
    <row r="164" spans="1:20" ht="12.75">
      <c r="A164" s="113" t="s">
        <v>67</v>
      </c>
      <c r="B164" s="11"/>
      <c r="C164" s="111">
        <v>19700</v>
      </c>
      <c r="D164" s="111">
        <v>20730</v>
      </c>
      <c r="E164" s="111">
        <v>24500</v>
      </c>
      <c r="F164" s="111">
        <v>24270</v>
      </c>
      <c r="G164" s="111">
        <v>23730</v>
      </c>
      <c r="H164" s="111">
        <v>24440</v>
      </c>
      <c r="I164" s="111">
        <v>24270</v>
      </c>
      <c r="J164" s="111">
        <v>24540</v>
      </c>
      <c r="K164" s="111">
        <v>24880</v>
      </c>
      <c r="L164" s="111">
        <v>25890</v>
      </c>
      <c r="M164" s="111">
        <v>26540</v>
      </c>
      <c r="N164" s="111">
        <v>27460</v>
      </c>
      <c r="O164" s="111">
        <v>28020</v>
      </c>
      <c r="P164" s="111">
        <v>28620</v>
      </c>
      <c r="Q164" s="111">
        <v>29920</v>
      </c>
      <c r="R164" s="111">
        <v>30390</v>
      </c>
      <c r="S164" s="111">
        <v>31930</v>
      </c>
      <c r="T164" s="111">
        <v>32550</v>
      </c>
    </row>
    <row r="165" spans="1:20" ht="12.75">
      <c r="A165" s="113" t="s">
        <v>68</v>
      </c>
      <c r="B165" s="11"/>
      <c r="C165" s="111">
        <v>18680</v>
      </c>
      <c r="D165" s="111">
        <v>19610</v>
      </c>
      <c r="E165" s="111">
        <v>20650</v>
      </c>
      <c r="F165" s="111">
        <v>24390</v>
      </c>
      <c r="G165" s="111">
        <v>24170</v>
      </c>
      <c r="H165" s="111">
        <v>23640</v>
      </c>
      <c r="I165" s="111">
        <v>24350</v>
      </c>
      <c r="J165" s="111">
        <v>24180</v>
      </c>
      <c r="K165" s="111">
        <v>24440</v>
      </c>
      <c r="L165" s="111">
        <v>24790</v>
      </c>
      <c r="M165" s="111">
        <v>25790</v>
      </c>
      <c r="N165" s="111">
        <v>26440</v>
      </c>
      <c r="O165" s="111">
        <v>27360</v>
      </c>
      <c r="P165" s="111">
        <v>27920</v>
      </c>
      <c r="Q165" s="111">
        <v>28520</v>
      </c>
      <c r="R165" s="111">
        <v>29820</v>
      </c>
      <c r="S165" s="111">
        <v>30290</v>
      </c>
      <c r="T165" s="111">
        <v>31820</v>
      </c>
    </row>
    <row r="166" spans="1:20" ht="12.75">
      <c r="A166" s="113" t="s">
        <v>69</v>
      </c>
      <c r="B166" s="11"/>
      <c r="C166" s="111">
        <v>16840</v>
      </c>
      <c r="D166" s="111">
        <v>18590</v>
      </c>
      <c r="E166" s="111">
        <v>19510</v>
      </c>
      <c r="F166" s="111">
        <v>20560</v>
      </c>
      <c r="G166" s="111">
        <v>24290</v>
      </c>
      <c r="H166" s="111">
        <v>24070</v>
      </c>
      <c r="I166" s="111">
        <v>23530</v>
      </c>
      <c r="J166" s="111">
        <v>24250</v>
      </c>
      <c r="K166" s="111">
        <v>24080</v>
      </c>
      <c r="L166" s="111">
        <v>24350</v>
      </c>
      <c r="M166" s="111">
        <v>24690</v>
      </c>
      <c r="N166" s="111">
        <v>25690</v>
      </c>
      <c r="O166" s="111">
        <v>26340</v>
      </c>
      <c r="P166" s="111">
        <v>27260</v>
      </c>
      <c r="Q166" s="111">
        <v>27820</v>
      </c>
      <c r="R166" s="111">
        <v>28420</v>
      </c>
      <c r="S166" s="111">
        <v>29710</v>
      </c>
      <c r="T166" s="111">
        <v>30180</v>
      </c>
    </row>
    <row r="167" spans="1:20" ht="12.75">
      <c r="A167" s="113" t="s">
        <v>70</v>
      </c>
      <c r="B167" s="11"/>
      <c r="C167" s="111">
        <v>18730</v>
      </c>
      <c r="D167" s="111">
        <v>16770</v>
      </c>
      <c r="E167" s="111">
        <v>18510</v>
      </c>
      <c r="F167" s="111">
        <v>19420</v>
      </c>
      <c r="G167" s="111">
        <v>20460</v>
      </c>
      <c r="H167" s="111">
        <v>24160</v>
      </c>
      <c r="I167" s="111">
        <v>23950</v>
      </c>
      <c r="J167" s="111">
        <v>23420</v>
      </c>
      <c r="K167" s="111">
        <v>24130</v>
      </c>
      <c r="L167" s="111">
        <v>23970</v>
      </c>
      <c r="M167" s="111">
        <v>24240</v>
      </c>
      <c r="N167" s="111">
        <v>24580</v>
      </c>
      <c r="O167" s="111">
        <v>25580</v>
      </c>
      <c r="P167" s="111">
        <v>26230</v>
      </c>
      <c r="Q167" s="111">
        <v>27140</v>
      </c>
      <c r="R167" s="111">
        <v>27700</v>
      </c>
      <c r="S167" s="111">
        <v>28300</v>
      </c>
      <c r="T167" s="111">
        <v>29580</v>
      </c>
    </row>
    <row r="168" spans="1:20" ht="12.75">
      <c r="A168" s="113" t="s">
        <v>71</v>
      </c>
      <c r="B168" s="11"/>
      <c r="C168" s="111">
        <v>18400</v>
      </c>
      <c r="D168" s="111">
        <v>18650</v>
      </c>
      <c r="E168" s="111">
        <v>16680</v>
      </c>
      <c r="F168" s="111">
        <v>18410</v>
      </c>
      <c r="G168" s="111">
        <v>19310</v>
      </c>
      <c r="H168" s="111">
        <v>20350</v>
      </c>
      <c r="I168" s="111">
        <v>24020</v>
      </c>
      <c r="J168" s="111">
        <v>23810</v>
      </c>
      <c r="K168" s="111">
        <v>23300</v>
      </c>
      <c r="L168" s="111">
        <v>24000</v>
      </c>
      <c r="M168" s="111">
        <v>23850</v>
      </c>
      <c r="N168" s="111">
        <v>24110</v>
      </c>
      <c r="O168" s="111">
        <v>24460</v>
      </c>
      <c r="P168" s="111">
        <v>25450</v>
      </c>
      <c r="Q168" s="111">
        <v>26100</v>
      </c>
      <c r="R168" s="111">
        <v>27010</v>
      </c>
      <c r="S168" s="111">
        <v>27570</v>
      </c>
      <c r="T168" s="111">
        <v>28170</v>
      </c>
    </row>
    <row r="169" spans="1:20" ht="12.75">
      <c r="A169" s="113" t="s">
        <v>72</v>
      </c>
      <c r="B169" s="11"/>
      <c r="C169" s="111">
        <v>16900</v>
      </c>
      <c r="D169" s="111">
        <v>18280</v>
      </c>
      <c r="E169" s="111">
        <v>18510</v>
      </c>
      <c r="F169" s="111">
        <v>16570</v>
      </c>
      <c r="G169" s="111">
        <v>18300</v>
      </c>
      <c r="H169" s="111">
        <v>19190</v>
      </c>
      <c r="I169" s="111">
        <v>20220</v>
      </c>
      <c r="J169" s="111">
        <v>23870</v>
      </c>
      <c r="K169" s="111">
        <v>23660</v>
      </c>
      <c r="L169" s="111">
        <v>23150</v>
      </c>
      <c r="M169" s="111">
        <v>23860</v>
      </c>
      <c r="N169" s="111">
        <v>23710</v>
      </c>
      <c r="O169" s="111">
        <v>23980</v>
      </c>
      <c r="P169" s="111">
        <v>24330</v>
      </c>
      <c r="Q169" s="111">
        <v>25310</v>
      </c>
      <c r="R169" s="111">
        <v>25960</v>
      </c>
      <c r="S169" s="111">
        <v>26870</v>
      </c>
      <c r="T169" s="111">
        <v>27420</v>
      </c>
    </row>
    <row r="170" spans="1:20" ht="12.75">
      <c r="A170" s="113" t="s">
        <v>73</v>
      </c>
      <c r="B170" s="11"/>
      <c r="C170" s="111">
        <v>15620</v>
      </c>
      <c r="D170" s="111">
        <v>16770</v>
      </c>
      <c r="E170" s="111">
        <v>18120</v>
      </c>
      <c r="F170" s="111">
        <v>18370</v>
      </c>
      <c r="G170" s="111">
        <v>16460</v>
      </c>
      <c r="H170" s="111">
        <v>18160</v>
      </c>
      <c r="I170" s="111">
        <v>19050</v>
      </c>
      <c r="J170" s="111">
        <v>20080</v>
      </c>
      <c r="K170" s="111">
        <v>23700</v>
      </c>
      <c r="L170" s="111">
        <v>23500</v>
      </c>
      <c r="M170" s="111">
        <v>23000</v>
      </c>
      <c r="N170" s="111">
        <v>23700</v>
      </c>
      <c r="O170" s="111">
        <v>23550</v>
      </c>
      <c r="P170" s="111">
        <v>23820</v>
      </c>
      <c r="Q170" s="111">
        <v>24170</v>
      </c>
      <c r="R170" s="111">
        <v>25150</v>
      </c>
      <c r="S170" s="111">
        <v>25800</v>
      </c>
      <c r="T170" s="111">
        <v>26700</v>
      </c>
    </row>
    <row r="171" spans="1:20" ht="12.75">
      <c r="A171" s="113" t="s">
        <v>74</v>
      </c>
      <c r="B171" s="11"/>
      <c r="C171" s="111">
        <v>14760</v>
      </c>
      <c r="D171" s="111">
        <v>15450</v>
      </c>
      <c r="E171" s="111">
        <v>16630</v>
      </c>
      <c r="F171" s="111">
        <v>17960</v>
      </c>
      <c r="G171" s="111">
        <v>18210</v>
      </c>
      <c r="H171" s="111">
        <v>16320</v>
      </c>
      <c r="I171" s="111">
        <v>18010</v>
      </c>
      <c r="J171" s="111">
        <v>18900</v>
      </c>
      <c r="K171" s="111">
        <v>19920</v>
      </c>
      <c r="L171" s="111">
        <v>23510</v>
      </c>
      <c r="M171" s="111">
        <v>23310</v>
      </c>
      <c r="N171" s="111">
        <v>22820</v>
      </c>
      <c r="O171" s="111">
        <v>23520</v>
      </c>
      <c r="P171" s="111">
        <v>23380</v>
      </c>
      <c r="Q171" s="111">
        <v>23650</v>
      </c>
      <c r="R171" s="111">
        <v>24000</v>
      </c>
      <c r="S171" s="111">
        <v>24980</v>
      </c>
      <c r="T171" s="111">
        <v>25620</v>
      </c>
    </row>
    <row r="172" spans="1:20" ht="12.75">
      <c r="A172" s="113" t="s">
        <v>75</v>
      </c>
      <c r="B172" s="11"/>
      <c r="C172" s="111">
        <v>14230</v>
      </c>
      <c r="D172" s="111">
        <v>14620</v>
      </c>
      <c r="E172" s="111">
        <v>15290</v>
      </c>
      <c r="F172" s="111">
        <v>16470</v>
      </c>
      <c r="G172" s="111">
        <v>17790</v>
      </c>
      <c r="H172" s="111">
        <v>18040</v>
      </c>
      <c r="I172" s="111">
        <v>16170</v>
      </c>
      <c r="J172" s="111">
        <v>17850</v>
      </c>
      <c r="K172" s="111">
        <v>18730</v>
      </c>
      <c r="L172" s="111">
        <v>19740</v>
      </c>
      <c r="M172" s="111">
        <v>23300</v>
      </c>
      <c r="N172" s="111">
        <v>23110</v>
      </c>
      <c r="O172" s="111">
        <v>22630</v>
      </c>
      <c r="P172" s="111">
        <v>23320</v>
      </c>
      <c r="Q172" s="111">
        <v>23180</v>
      </c>
      <c r="R172" s="111">
        <v>23460</v>
      </c>
      <c r="S172" s="111">
        <v>23810</v>
      </c>
      <c r="T172" s="111">
        <v>24780</v>
      </c>
    </row>
    <row r="173" spans="1:20" ht="12.75">
      <c r="A173" s="113" t="s">
        <v>76</v>
      </c>
      <c r="B173" s="11"/>
      <c r="C173" s="111">
        <v>13460</v>
      </c>
      <c r="D173" s="111">
        <v>14050</v>
      </c>
      <c r="E173" s="111">
        <v>14450</v>
      </c>
      <c r="F173" s="111">
        <v>15130</v>
      </c>
      <c r="G173" s="111">
        <v>16290</v>
      </c>
      <c r="H173" s="111">
        <v>17600</v>
      </c>
      <c r="I173" s="111">
        <v>17840</v>
      </c>
      <c r="J173" s="111">
        <v>16010</v>
      </c>
      <c r="K173" s="111">
        <v>17670</v>
      </c>
      <c r="L173" s="111">
        <v>18540</v>
      </c>
      <c r="M173" s="111">
        <v>19550</v>
      </c>
      <c r="N173" s="111">
        <v>23070</v>
      </c>
      <c r="O173" s="111">
        <v>22890</v>
      </c>
      <c r="P173" s="111">
        <v>22410</v>
      </c>
      <c r="Q173" s="111">
        <v>23100</v>
      </c>
      <c r="R173" s="111">
        <v>22970</v>
      </c>
      <c r="S173" s="111">
        <v>23240</v>
      </c>
      <c r="T173" s="111">
        <v>23600</v>
      </c>
    </row>
    <row r="174" spans="1:20" ht="12.75">
      <c r="A174" s="113" t="s">
        <v>77</v>
      </c>
      <c r="B174" s="11"/>
      <c r="C174" s="111">
        <v>12650</v>
      </c>
      <c r="D174" s="111">
        <v>13270</v>
      </c>
      <c r="E174" s="111">
        <v>13870</v>
      </c>
      <c r="F174" s="111">
        <v>14270</v>
      </c>
      <c r="G174" s="111">
        <v>14940</v>
      </c>
      <c r="H174" s="111">
        <v>16090</v>
      </c>
      <c r="I174" s="111">
        <v>17380</v>
      </c>
      <c r="J174" s="111">
        <v>17630</v>
      </c>
      <c r="K174" s="111">
        <v>15820</v>
      </c>
      <c r="L174" s="111">
        <v>17470</v>
      </c>
      <c r="M174" s="111">
        <v>18340</v>
      </c>
      <c r="N174" s="111">
        <v>19330</v>
      </c>
      <c r="O174" s="111">
        <v>22810</v>
      </c>
      <c r="P174" s="111">
        <v>22640</v>
      </c>
      <c r="Q174" s="111">
        <v>22170</v>
      </c>
      <c r="R174" s="111">
        <v>22860</v>
      </c>
      <c r="S174" s="111">
        <v>22740</v>
      </c>
      <c r="T174" s="111">
        <v>23010</v>
      </c>
    </row>
    <row r="175" spans="1:20" ht="12.75">
      <c r="A175" s="113" t="s">
        <v>78</v>
      </c>
      <c r="B175" s="11"/>
      <c r="C175" s="111">
        <v>12410</v>
      </c>
      <c r="D175" s="111">
        <v>12470</v>
      </c>
      <c r="E175" s="111">
        <v>13100</v>
      </c>
      <c r="F175" s="111">
        <v>13680</v>
      </c>
      <c r="G175" s="111">
        <v>14070</v>
      </c>
      <c r="H175" s="111">
        <v>14730</v>
      </c>
      <c r="I175" s="111">
        <v>15870</v>
      </c>
      <c r="J175" s="111">
        <v>17150</v>
      </c>
      <c r="K175" s="111">
        <v>17400</v>
      </c>
      <c r="L175" s="111">
        <v>15620</v>
      </c>
      <c r="M175" s="111">
        <v>17250</v>
      </c>
      <c r="N175" s="111">
        <v>18110</v>
      </c>
      <c r="O175" s="111">
        <v>19090</v>
      </c>
      <c r="P175" s="111">
        <v>22530</v>
      </c>
      <c r="Q175" s="111">
        <v>22370</v>
      </c>
      <c r="R175" s="111">
        <v>21910</v>
      </c>
      <c r="S175" s="111">
        <v>22600</v>
      </c>
      <c r="T175" s="111">
        <v>22480</v>
      </c>
    </row>
    <row r="176" spans="1:20" ht="12.75">
      <c r="A176" s="113" t="s">
        <v>79</v>
      </c>
      <c r="B176" s="11"/>
      <c r="C176" s="111">
        <v>12300</v>
      </c>
      <c r="D176" s="111">
        <v>12180</v>
      </c>
      <c r="E176" s="111">
        <v>12250</v>
      </c>
      <c r="F176" s="111">
        <v>12890</v>
      </c>
      <c r="G176" s="111">
        <v>13460</v>
      </c>
      <c r="H176" s="111">
        <v>13850</v>
      </c>
      <c r="I176" s="111">
        <v>14510</v>
      </c>
      <c r="J176" s="111">
        <v>15630</v>
      </c>
      <c r="K176" s="111">
        <v>16900</v>
      </c>
      <c r="L176" s="111">
        <v>17150</v>
      </c>
      <c r="M176" s="111">
        <v>15400</v>
      </c>
      <c r="N176" s="111">
        <v>17010</v>
      </c>
      <c r="O176" s="111">
        <v>17860</v>
      </c>
      <c r="P176" s="111">
        <v>18840</v>
      </c>
      <c r="Q176" s="111">
        <v>22230</v>
      </c>
      <c r="R176" s="111">
        <v>22070</v>
      </c>
      <c r="S176" s="111">
        <v>21630</v>
      </c>
      <c r="T176" s="111">
        <v>22310</v>
      </c>
    </row>
    <row r="177" spans="1:20" ht="12.75">
      <c r="A177" s="113" t="s">
        <v>80</v>
      </c>
      <c r="B177" s="11"/>
      <c r="C177" s="111">
        <v>11960</v>
      </c>
      <c r="D177" s="111">
        <v>12060</v>
      </c>
      <c r="E177" s="111">
        <v>11950</v>
      </c>
      <c r="F177" s="111">
        <v>12020</v>
      </c>
      <c r="G177" s="111">
        <v>12670</v>
      </c>
      <c r="H177" s="111">
        <v>13230</v>
      </c>
      <c r="I177" s="111">
        <v>13610</v>
      </c>
      <c r="J177" s="111">
        <v>14260</v>
      </c>
      <c r="K177" s="111">
        <v>15370</v>
      </c>
      <c r="L177" s="111">
        <v>16620</v>
      </c>
      <c r="M177" s="111">
        <v>16870</v>
      </c>
      <c r="N177" s="111">
        <v>15160</v>
      </c>
      <c r="O177" s="111">
        <v>16740</v>
      </c>
      <c r="P177" s="111">
        <v>17580</v>
      </c>
      <c r="Q177" s="111">
        <v>18550</v>
      </c>
      <c r="R177" s="111">
        <v>21900</v>
      </c>
      <c r="S177" s="111">
        <v>21750</v>
      </c>
      <c r="T177" s="111">
        <v>21320</v>
      </c>
    </row>
    <row r="178" spans="1:20" ht="12.75">
      <c r="A178" s="113" t="s">
        <v>81</v>
      </c>
      <c r="B178" s="11"/>
      <c r="C178" s="111">
        <v>12130</v>
      </c>
      <c r="D178" s="111">
        <v>11690</v>
      </c>
      <c r="E178" s="111">
        <v>11790</v>
      </c>
      <c r="F178" s="111">
        <v>11700</v>
      </c>
      <c r="G178" s="111">
        <v>11790</v>
      </c>
      <c r="H178" s="111">
        <v>12420</v>
      </c>
      <c r="I178" s="111">
        <v>12970</v>
      </c>
      <c r="J178" s="111">
        <v>13350</v>
      </c>
      <c r="K178" s="111">
        <v>14000</v>
      </c>
      <c r="L178" s="111">
        <v>15090</v>
      </c>
      <c r="M178" s="111">
        <v>16320</v>
      </c>
      <c r="N178" s="111">
        <v>16570</v>
      </c>
      <c r="O178" s="111">
        <v>14900</v>
      </c>
      <c r="P178" s="111">
        <v>16460</v>
      </c>
      <c r="Q178" s="111">
        <v>17290</v>
      </c>
      <c r="R178" s="111">
        <v>18240</v>
      </c>
      <c r="S178" s="111">
        <v>21540</v>
      </c>
      <c r="T178" s="111">
        <v>21400</v>
      </c>
    </row>
    <row r="179" spans="1:20" ht="12.75">
      <c r="A179" s="113" t="s">
        <v>82</v>
      </c>
      <c r="B179" s="11"/>
      <c r="C179" s="111">
        <v>11810</v>
      </c>
      <c r="D179" s="111">
        <v>11840</v>
      </c>
      <c r="E179" s="111">
        <v>11430</v>
      </c>
      <c r="F179" s="111">
        <v>11520</v>
      </c>
      <c r="G179" s="111">
        <v>11440</v>
      </c>
      <c r="H179" s="111">
        <v>11530</v>
      </c>
      <c r="I179" s="111">
        <v>12150</v>
      </c>
      <c r="J179" s="111">
        <v>12700</v>
      </c>
      <c r="K179" s="111">
        <v>13070</v>
      </c>
      <c r="L179" s="111">
        <v>13710</v>
      </c>
      <c r="M179" s="111">
        <v>14790</v>
      </c>
      <c r="N179" s="111">
        <v>16000</v>
      </c>
      <c r="O179" s="111">
        <v>16250</v>
      </c>
      <c r="P179" s="111">
        <v>14610</v>
      </c>
      <c r="Q179" s="111">
        <v>16150</v>
      </c>
      <c r="R179" s="111">
        <v>16970</v>
      </c>
      <c r="S179" s="111">
        <v>17910</v>
      </c>
      <c r="T179" s="111">
        <v>21150</v>
      </c>
    </row>
    <row r="180" spans="1:20" ht="12.75">
      <c r="A180" s="113" t="s">
        <v>83</v>
      </c>
      <c r="B180" s="11"/>
      <c r="C180" s="111">
        <v>11080</v>
      </c>
      <c r="D180" s="111">
        <v>11500</v>
      </c>
      <c r="E180" s="111">
        <v>11530</v>
      </c>
      <c r="F180" s="111">
        <v>11150</v>
      </c>
      <c r="G180" s="111">
        <v>11240</v>
      </c>
      <c r="H180" s="111">
        <v>11160</v>
      </c>
      <c r="I180" s="111">
        <v>11250</v>
      </c>
      <c r="J180" s="111">
        <v>11860</v>
      </c>
      <c r="K180" s="111">
        <v>12400</v>
      </c>
      <c r="L180" s="111">
        <v>12780</v>
      </c>
      <c r="M180" s="111">
        <v>13400</v>
      </c>
      <c r="N180" s="111">
        <v>14460</v>
      </c>
      <c r="O180" s="111">
        <v>15650</v>
      </c>
      <c r="P180" s="111">
        <v>15900</v>
      </c>
      <c r="Q180" s="111">
        <v>14310</v>
      </c>
      <c r="R180" s="111">
        <v>15810</v>
      </c>
      <c r="S180" s="111">
        <v>16620</v>
      </c>
      <c r="T180" s="111">
        <v>17550</v>
      </c>
    </row>
    <row r="181" spans="1:20" ht="12.75">
      <c r="A181" s="113" t="s">
        <v>84</v>
      </c>
      <c r="B181" s="11"/>
      <c r="C181" s="111">
        <v>10800</v>
      </c>
      <c r="D181" s="111">
        <v>10770</v>
      </c>
      <c r="E181" s="111">
        <v>11190</v>
      </c>
      <c r="F181" s="111">
        <v>11200</v>
      </c>
      <c r="G181" s="111">
        <v>10840</v>
      </c>
      <c r="H181" s="111">
        <v>10930</v>
      </c>
      <c r="I181" s="111">
        <v>10860</v>
      </c>
      <c r="J181" s="111">
        <v>10950</v>
      </c>
      <c r="K181" s="111">
        <v>11550</v>
      </c>
      <c r="L181" s="111">
        <v>12080</v>
      </c>
      <c r="M181" s="111">
        <v>12460</v>
      </c>
      <c r="N181" s="111">
        <v>13070</v>
      </c>
      <c r="O181" s="111">
        <v>14110</v>
      </c>
      <c r="P181" s="111">
        <v>15270</v>
      </c>
      <c r="Q181" s="111">
        <v>15530</v>
      </c>
      <c r="R181" s="111">
        <v>13980</v>
      </c>
      <c r="S181" s="111">
        <v>15450</v>
      </c>
      <c r="T181" s="111">
        <v>16250</v>
      </c>
    </row>
    <row r="182" spans="1:20" ht="12.75">
      <c r="A182" s="113" t="s">
        <v>85</v>
      </c>
      <c r="B182" s="11"/>
      <c r="C182" s="111">
        <v>10220</v>
      </c>
      <c r="D182" s="111">
        <v>10420</v>
      </c>
      <c r="E182" s="111">
        <v>10420</v>
      </c>
      <c r="F182" s="111">
        <v>10830</v>
      </c>
      <c r="G182" s="111">
        <v>10850</v>
      </c>
      <c r="H182" s="111">
        <v>10500</v>
      </c>
      <c r="I182" s="111">
        <v>10600</v>
      </c>
      <c r="J182" s="111">
        <v>10540</v>
      </c>
      <c r="K182" s="111">
        <v>10630</v>
      </c>
      <c r="L182" s="111">
        <v>11220</v>
      </c>
      <c r="M182" s="111">
        <v>11740</v>
      </c>
      <c r="N182" s="111">
        <v>12110</v>
      </c>
      <c r="O182" s="111">
        <v>12720</v>
      </c>
      <c r="P182" s="111">
        <v>13730</v>
      </c>
      <c r="Q182" s="111">
        <v>14870</v>
      </c>
      <c r="R182" s="111">
        <v>15130</v>
      </c>
      <c r="S182" s="111">
        <v>13620</v>
      </c>
      <c r="T182" s="111">
        <v>15070</v>
      </c>
    </row>
    <row r="183" spans="1:20" ht="12.75">
      <c r="A183" s="113" t="s">
        <v>86</v>
      </c>
      <c r="B183" s="11"/>
      <c r="C183" s="111">
        <v>9890</v>
      </c>
      <c r="D183" s="111">
        <v>9870</v>
      </c>
      <c r="E183" s="111">
        <v>10040</v>
      </c>
      <c r="F183" s="111">
        <v>10050</v>
      </c>
      <c r="G183" s="111">
        <v>10450</v>
      </c>
      <c r="H183" s="111">
        <v>10470</v>
      </c>
      <c r="I183" s="111">
        <v>10140</v>
      </c>
      <c r="J183" s="111">
        <v>10240</v>
      </c>
      <c r="K183" s="111">
        <v>10190</v>
      </c>
      <c r="L183" s="111">
        <v>10290</v>
      </c>
      <c r="M183" s="111">
        <v>10870</v>
      </c>
      <c r="N183" s="111">
        <v>11380</v>
      </c>
      <c r="O183" s="111">
        <v>11740</v>
      </c>
      <c r="P183" s="111">
        <v>12340</v>
      </c>
      <c r="Q183" s="111">
        <v>13330</v>
      </c>
      <c r="R183" s="111">
        <v>14440</v>
      </c>
      <c r="S183" s="111">
        <v>14690</v>
      </c>
      <c r="T183" s="111">
        <v>13240</v>
      </c>
    </row>
    <row r="184" spans="1:20" ht="12.75">
      <c r="A184" s="113" t="s">
        <v>87</v>
      </c>
      <c r="B184" s="11"/>
      <c r="C184" s="111">
        <v>9610</v>
      </c>
      <c r="D184" s="111">
        <v>9490</v>
      </c>
      <c r="E184" s="111">
        <v>9450</v>
      </c>
      <c r="F184" s="111">
        <v>9630</v>
      </c>
      <c r="G184" s="111">
        <v>9640</v>
      </c>
      <c r="H184" s="111">
        <v>10040</v>
      </c>
      <c r="I184" s="111">
        <v>10070</v>
      </c>
      <c r="J184" s="111">
        <v>9760</v>
      </c>
      <c r="K184" s="111">
        <v>9860</v>
      </c>
      <c r="L184" s="111">
        <v>9820</v>
      </c>
      <c r="M184" s="111">
        <v>9920</v>
      </c>
      <c r="N184" s="111">
        <v>10490</v>
      </c>
      <c r="O184" s="111">
        <v>10990</v>
      </c>
      <c r="P184" s="111">
        <v>11340</v>
      </c>
      <c r="Q184" s="111">
        <v>11920</v>
      </c>
      <c r="R184" s="111">
        <v>12890</v>
      </c>
      <c r="S184" s="111">
        <v>13970</v>
      </c>
      <c r="T184" s="111">
        <v>14220</v>
      </c>
    </row>
    <row r="185" spans="1:20" ht="12.75">
      <c r="A185" s="113" t="s">
        <v>88</v>
      </c>
      <c r="B185" s="11"/>
      <c r="C185" s="111">
        <v>8770</v>
      </c>
      <c r="D185" s="111">
        <v>9140</v>
      </c>
      <c r="E185" s="111">
        <v>9050</v>
      </c>
      <c r="F185" s="111">
        <v>9020</v>
      </c>
      <c r="G185" s="111">
        <v>9200</v>
      </c>
      <c r="H185" s="111">
        <v>9210</v>
      </c>
      <c r="I185" s="111">
        <v>9600</v>
      </c>
      <c r="J185" s="111">
        <v>9640</v>
      </c>
      <c r="K185" s="111">
        <v>9350</v>
      </c>
      <c r="L185" s="111">
        <v>9460</v>
      </c>
      <c r="M185" s="111">
        <v>9420</v>
      </c>
      <c r="N185" s="111">
        <v>9530</v>
      </c>
      <c r="O185" s="111">
        <v>10080</v>
      </c>
      <c r="P185" s="111">
        <v>10570</v>
      </c>
      <c r="Q185" s="111">
        <v>10920</v>
      </c>
      <c r="R185" s="111">
        <v>11480</v>
      </c>
      <c r="S185" s="111">
        <v>12420</v>
      </c>
      <c r="T185" s="111">
        <v>13470</v>
      </c>
    </row>
    <row r="186" spans="1:20" ht="12.75">
      <c r="A186" s="113" t="s">
        <v>89</v>
      </c>
      <c r="B186" s="11"/>
      <c r="C186" s="111">
        <v>8030</v>
      </c>
      <c r="D186" s="111">
        <v>8310</v>
      </c>
      <c r="E186" s="111">
        <v>8630</v>
      </c>
      <c r="F186" s="111">
        <v>8580</v>
      </c>
      <c r="G186" s="111">
        <v>8560</v>
      </c>
      <c r="H186" s="111">
        <v>8740</v>
      </c>
      <c r="I186" s="111">
        <v>8760</v>
      </c>
      <c r="J186" s="111">
        <v>9130</v>
      </c>
      <c r="K186" s="111">
        <v>9180</v>
      </c>
      <c r="L186" s="111">
        <v>8920</v>
      </c>
      <c r="M186" s="111">
        <v>9020</v>
      </c>
      <c r="N186" s="111">
        <v>9000</v>
      </c>
      <c r="O186" s="111">
        <v>9110</v>
      </c>
      <c r="P186" s="111">
        <v>9640</v>
      </c>
      <c r="Q186" s="111">
        <v>10110</v>
      </c>
      <c r="R186" s="111">
        <v>10460</v>
      </c>
      <c r="S186" s="111">
        <v>11010</v>
      </c>
      <c r="T186" s="111">
        <v>11910</v>
      </c>
    </row>
    <row r="187" spans="1:20" ht="12.75">
      <c r="A187" s="113" t="s">
        <v>90</v>
      </c>
      <c r="B187" s="11"/>
      <c r="C187" s="111">
        <v>7700</v>
      </c>
      <c r="D187" s="111">
        <v>7520</v>
      </c>
      <c r="E187" s="111">
        <v>7810</v>
      </c>
      <c r="F187" s="111">
        <v>8110</v>
      </c>
      <c r="G187" s="111">
        <v>8080</v>
      </c>
      <c r="H187" s="111">
        <v>8070</v>
      </c>
      <c r="I187" s="111">
        <v>8250</v>
      </c>
      <c r="J187" s="111">
        <v>8280</v>
      </c>
      <c r="K187" s="111">
        <v>8640</v>
      </c>
      <c r="L187" s="111">
        <v>8690</v>
      </c>
      <c r="M187" s="111">
        <v>8450</v>
      </c>
      <c r="N187" s="111">
        <v>8560</v>
      </c>
      <c r="O187" s="111">
        <v>8550</v>
      </c>
      <c r="P187" s="111">
        <v>8660</v>
      </c>
      <c r="Q187" s="111">
        <v>9170</v>
      </c>
      <c r="R187" s="111">
        <v>9630</v>
      </c>
      <c r="S187" s="111">
        <v>9970</v>
      </c>
      <c r="T187" s="111">
        <v>10500</v>
      </c>
    </row>
    <row r="188" spans="1:20" ht="12.75">
      <c r="A188" s="113" t="s">
        <v>91</v>
      </c>
      <c r="B188" s="11"/>
      <c r="C188" s="111">
        <v>6940</v>
      </c>
      <c r="D188" s="111">
        <v>7150</v>
      </c>
      <c r="E188" s="111">
        <v>7020</v>
      </c>
      <c r="F188" s="111">
        <v>7280</v>
      </c>
      <c r="G188" s="111">
        <v>7580</v>
      </c>
      <c r="H188" s="111">
        <v>7560</v>
      </c>
      <c r="I188" s="111">
        <v>7560</v>
      </c>
      <c r="J188" s="111">
        <v>7730</v>
      </c>
      <c r="K188" s="111">
        <v>7770</v>
      </c>
      <c r="L188" s="111">
        <v>8120</v>
      </c>
      <c r="M188" s="111">
        <v>8180</v>
      </c>
      <c r="N188" s="111">
        <v>7960</v>
      </c>
      <c r="O188" s="111">
        <v>8080</v>
      </c>
      <c r="P188" s="111">
        <v>8070</v>
      </c>
      <c r="Q188" s="111">
        <v>8180</v>
      </c>
      <c r="R188" s="111">
        <v>8670</v>
      </c>
      <c r="S188" s="111">
        <v>9120</v>
      </c>
      <c r="T188" s="111">
        <v>9440</v>
      </c>
    </row>
    <row r="189" spans="1:20" ht="12.75">
      <c r="A189" s="113" t="s">
        <v>92</v>
      </c>
      <c r="B189" s="11"/>
      <c r="C189" s="111">
        <v>6240</v>
      </c>
      <c r="D189" s="111">
        <v>6400</v>
      </c>
      <c r="E189" s="111">
        <v>6570</v>
      </c>
      <c r="F189" s="111">
        <v>6480</v>
      </c>
      <c r="G189" s="111">
        <v>6730</v>
      </c>
      <c r="H189" s="111">
        <v>7020</v>
      </c>
      <c r="I189" s="111">
        <v>7010</v>
      </c>
      <c r="J189" s="111">
        <v>7020</v>
      </c>
      <c r="K189" s="111">
        <v>7190</v>
      </c>
      <c r="L189" s="111">
        <v>7240</v>
      </c>
      <c r="M189" s="111">
        <v>7580</v>
      </c>
      <c r="N189" s="111">
        <v>7640</v>
      </c>
      <c r="O189" s="111">
        <v>7450</v>
      </c>
      <c r="P189" s="111">
        <v>7560</v>
      </c>
      <c r="Q189" s="111">
        <v>7560</v>
      </c>
      <c r="R189" s="111">
        <v>7680</v>
      </c>
      <c r="S189" s="111">
        <v>8150</v>
      </c>
      <c r="T189" s="111">
        <v>8570</v>
      </c>
    </row>
    <row r="190" spans="1:20" ht="12.75">
      <c r="A190" s="113" t="s">
        <v>93</v>
      </c>
      <c r="B190" s="11"/>
      <c r="C190" s="111">
        <v>4700</v>
      </c>
      <c r="D190" s="111">
        <v>5650</v>
      </c>
      <c r="E190" s="111">
        <v>5760</v>
      </c>
      <c r="F190" s="111">
        <v>6000</v>
      </c>
      <c r="G190" s="111">
        <v>5920</v>
      </c>
      <c r="H190" s="111">
        <v>6160</v>
      </c>
      <c r="I190" s="111">
        <v>6430</v>
      </c>
      <c r="J190" s="111">
        <v>6440</v>
      </c>
      <c r="K190" s="111">
        <v>6460</v>
      </c>
      <c r="L190" s="111">
        <v>6630</v>
      </c>
      <c r="M190" s="111">
        <v>6680</v>
      </c>
      <c r="N190" s="111">
        <v>7000</v>
      </c>
      <c r="O190" s="111">
        <v>7070</v>
      </c>
      <c r="P190" s="111">
        <v>6900</v>
      </c>
      <c r="Q190" s="111">
        <v>7020</v>
      </c>
      <c r="R190" s="111">
        <v>7030</v>
      </c>
      <c r="S190" s="111">
        <v>7140</v>
      </c>
      <c r="T190" s="111">
        <v>7590</v>
      </c>
    </row>
    <row r="191" spans="1:20" ht="12.75">
      <c r="A191" s="113" t="s">
        <v>94</v>
      </c>
      <c r="B191" s="11"/>
      <c r="C191" s="111">
        <v>4260</v>
      </c>
      <c r="D191" s="111">
        <v>4230</v>
      </c>
      <c r="E191" s="111">
        <v>5020</v>
      </c>
      <c r="F191" s="111">
        <v>5190</v>
      </c>
      <c r="G191" s="111">
        <v>5410</v>
      </c>
      <c r="H191" s="111">
        <v>5350</v>
      </c>
      <c r="I191" s="111">
        <v>5580</v>
      </c>
      <c r="J191" s="111">
        <v>5840</v>
      </c>
      <c r="K191" s="111">
        <v>5850</v>
      </c>
      <c r="L191" s="111">
        <v>5880</v>
      </c>
      <c r="M191" s="111">
        <v>6050</v>
      </c>
      <c r="N191" s="111">
        <v>6110</v>
      </c>
      <c r="O191" s="111">
        <v>6410</v>
      </c>
      <c r="P191" s="111">
        <v>6480</v>
      </c>
      <c r="Q191" s="111">
        <v>6340</v>
      </c>
      <c r="R191" s="111">
        <v>6450</v>
      </c>
      <c r="S191" s="111">
        <v>6470</v>
      </c>
      <c r="T191" s="111">
        <v>6580</v>
      </c>
    </row>
    <row r="192" spans="1:20" ht="12.75">
      <c r="A192" s="113" t="s">
        <v>95</v>
      </c>
      <c r="B192" s="11"/>
      <c r="C192" s="111">
        <v>3770</v>
      </c>
      <c r="D192" s="111">
        <v>3750</v>
      </c>
      <c r="E192" s="111">
        <v>3750</v>
      </c>
      <c r="F192" s="111">
        <v>4450</v>
      </c>
      <c r="G192" s="111">
        <v>4600</v>
      </c>
      <c r="H192" s="111">
        <v>4810</v>
      </c>
      <c r="I192" s="111">
        <v>4770</v>
      </c>
      <c r="J192" s="111">
        <v>4990</v>
      </c>
      <c r="K192" s="111">
        <v>5230</v>
      </c>
      <c r="L192" s="111">
        <v>5260</v>
      </c>
      <c r="M192" s="111">
        <v>5290</v>
      </c>
      <c r="N192" s="111">
        <v>5450</v>
      </c>
      <c r="O192" s="111">
        <v>5520</v>
      </c>
      <c r="P192" s="111">
        <v>5800</v>
      </c>
      <c r="Q192" s="111">
        <v>5880</v>
      </c>
      <c r="R192" s="111">
        <v>5750</v>
      </c>
      <c r="S192" s="111">
        <v>5870</v>
      </c>
      <c r="T192" s="111">
        <v>5890</v>
      </c>
    </row>
    <row r="193" spans="1:20" ht="12.75">
      <c r="A193" s="113" t="s">
        <v>96</v>
      </c>
      <c r="B193" s="11"/>
      <c r="C193" s="111">
        <v>14040</v>
      </c>
      <c r="D193" s="111">
        <v>14350</v>
      </c>
      <c r="E193" s="111">
        <v>14770</v>
      </c>
      <c r="F193" s="111">
        <v>15120</v>
      </c>
      <c r="G193" s="111">
        <v>16060</v>
      </c>
      <c r="H193" s="111">
        <v>17040</v>
      </c>
      <c r="I193" s="111">
        <v>18100</v>
      </c>
      <c r="J193" s="111">
        <v>19000</v>
      </c>
      <c r="K193" s="111">
        <v>19990</v>
      </c>
      <c r="L193" s="111">
        <v>21080</v>
      </c>
      <c r="M193" s="111">
        <v>22060</v>
      </c>
      <c r="N193" s="111">
        <v>22970</v>
      </c>
      <c r="O193" s="111">
        <v>23910</v>
      </c>
      <c r="P193" s="111">
        <v>24800</v>
      </c>
      <c r="Q193" s="111">
        <v>25850</v>
      </c>
      <c r="R193" s="111">
        <v>26860</v>
      </c>
      <c r="S193" s="111">
        <v>27650</v>
      </c>
      <c r="T193" s="111">
        <v>28450</v>
      </c>
    </row>
    <row r="194" spans="1:20" ht="12.75">
      <c r="A194" s="112" t="s">
        <v>99</v>
      </c>
      <c r="B194" s="11"/>
      <c r="C194" s="197">
        <f aca="true" t="shared" si="2" ref="C194:T194">SUM(C$103:C$193)/1000000</f>
        <v>2.13625</v>
      </c>
      <c r="D194" s="197">
        <f t="shared" si="2"/>
        <v>2.15758</v>
      </c>
      <c r="E194" s="197">
        <f t="shared" si="2"/>
        <v>2.17668</v>
      </c>
      <c r="F194" s="197">
        <f t="shared" si="2"/>
        <v>2.19872</v>
      </c>
      <c r="G194" s="197">
        <f t="shared" si="2"/>
        <v>2.22303</v>
      </c>
      <c r="H194" s="197">
        <f t="shared" si="2"/>
        <v>2.24442</v>
      </c>
      <c r="I194" s="197">
        <f t="shared" si="2"/>
        <v>2.26533</v>
      </c>
      <c r="J194" s="197">
        <f t="shared" si="2"/>
        <v>2.28584</v>
      </c>
      <c r="K194" s="197">
        <f t="shared" si="2"/>
        <v>2.30594</v>
      </c>
      <c r="L194" s="197">
        <f t="shared" si="2"/>
        <v>2.32578</v>
      </c>
      <c r="M194" s="197">
        <f t="shared" si="2"/>
        <v>2.34521</v>
      </c>
      <c r="N194" s="197">
        <f t="shared" si="2"/>
        <v>2.36436</v>
      </c>
      <c r="O194" s="197">
        <f t="shared" si="2"/>
        <v>2.38327</v>
      </c>
      <c r="P194" s="197">
        <f t="shared" si="2"/>
        <v>2.40174</v>
      </c>
      <c r="Q194" s="197">
        <f t="shared" si="2"/>
        <v>2.41998</v>
      </c>
      <c r="R194" s="197">
        <f t="shared" si="2"/>
        <v>2.43779</v>
      </c>
      <c r="S194" s="197">
        <f t="shared" si="2"/>
        <v>2.45545</v>
      </c>
      <c r="T194" s="197">
        <f t="shared" si="2"/>
        <v>2.47269</v>
      </c>
    </row>
    <row r="195" spans="3:9" ht="12.75">
      <c r="C195" s="292"/>
      <c r="D195" s="292"/>
      <c r="E195" s="292"/>
      <c r="F195" s="292"/>
      <c r="G195" s="292"/>
      <c r="H195" s="292"/>
      <c r="I195" s="292"/>
    </row>
    <row r="196" spans="1:9" ht="18.75">
      <c r="A196" s="1" t="s">
        <v>408</v>
      </c>
      <c r="H196" s="284"/>
      <c r="I196" s="284"/>
    </row>
    <row r="197" spans="1:20" ht="12.75">
      <c r="A197" s="383" t="s">
        <v>194</v>
      </c>
      <c r="B197" s="293"/>
      <c r="C197" s="294"/>
      <c r="D197" s="311">
        <f aca="true" t="shared" si="3" ref="D197:T197">SUM(D$9:D$99,D$103:D$193)/SUM(C$9:C$99,C$103:C$193)-1</f>
        <v>0.010431029744565334</v>
      </c>
      <c r="E197" s="311">
        <f t="shared" si="3"/>
        <v>0.009549982498793907</v>
      </c>
      <c r="F197" s="311">
        <f t="shared" si="3"/>
        <v>0.010645026776552768</v>
      </c>
      <c r="G197" s="311">
        <f t="shared" si="3"/>
        <v>0.011499501634176346</v>
      </c>
      <c r="H197" s="311">
        <f t="shared" si="3"/>
        <v>0.009984623176150675</v>
      </c>
      <c r="I197" s="311">
        <f t="shared" si="3"/>
        <v>0.00967036358025819</v>
      </c>
      <c r="J197" s="311">
        <f t="shared" si="3"/>
        <v>0.00936425537652541</v>
      </c>
      <c r="K197" s="311">
        <f t="shared" si="3"/>
        <v>0.009088136219629117</v>
      </c>
      <c r="L197" s="311">
        <f t="shared" si="3"/>
        <v>0.008834191232440336</v>
      </c>
      <c r="M197" s="311">
        <f t="shared" si="3"/>
        <v>0.008599366201341496</v>
      </c>
      <c r="N197" s="311">
        <f t="shared" si="3"/>
        <v>0.008339567409334947</v>
      </c>
      <c r="O197" s="311">
        <f t="shared" si="3"/>
        <v>0.008169523526894373</v>
      </c>
      <c r="P197" s="311">
        <f t="shared" si="3"/>
        <v>0.007924149993600915</v>
      </c>
      <c r="Q197" s="311">
        <f t="shared" si="3"/>
        <v>0.007717946818754262</v>
      </c>
      <c r="R197" s="311">
        <f t="shared" si="3"/>
        <v>0.0074803331499300185</v>
      </c>
      <c r="S197" s="311">
        <f t="shared" si="3"/>
        <v>0.007335162086446134</v>
      </c>
      <c r="T197" s="311">
        <f t="shared" si="3"/>
        <v>0.007081030412011691</v>
      </c>
    </row>
    <row r="198" spans="1:20" ht="12.75">
      <c r="A198" s="383" t="s">
        <v>252</v>
      </c>
      <c r="B198" s="293"/>
      <c r="C198" s="294"/>
      <c r="D198" s="311">
        <f aca="true" t="shared" si="4" ref="D198:T198">SUM(D$10:D$13,D$104:D$107)/SUM(C$10:C$13,C$104:C$107)-1</f>
        <v>0.016127610822243676</v>
      </c>
      <c r="E198" s="311">
        <f t="shared" si="4"/>
        <v>0.023330442324371203</v>
      </c>
      <c r="F198" s="311">
        <f t="shared" si="4"/>
        <v>0.028773624883464688</v>
      </c>
      <c r="G198" s="311">
        <f t="shared" si="4"/>
        <v>0.029534126951435535</v>
      </c>
      <c r="H198" s="311">
        <f t="shared" si="4"/>
        <v>0.019524685924621865</v>
      </c>
      <c r="I198" s="311">
        <f t="shared" si="4"/>
        <v>0.005533317635978419</v>
      </c>
      <c r="J198" s="311">
        <f t="shared" si="4"/>
        <v>-0.007024938531787872</v>
      </c>
      <c r="K198" s="311">
        <f t="shared" si="4"/>
        <v>-0.009197028652281558</v>
      </c>
      <c r="L198" s="311">
        <f t="shared" si="4"/>
        <v>-0.009322067515569854</v>
      </c>
      <c r="M198" s="311">
        <f t="shared" si="4"/>
        <v>-0.008328661808280624</v>
      </c>
      <c r="N198" s="311">
        <f t="shared" si="4"/>
        <v>-0.0071065169991116894</v>
      </c>
      <c r="O198" s="311">
        <f t="shared" si="4"/>
        <v>-0.005978039853599015</v>
      </c>
      <c r="P198" s="311">
        <f t="shared" si="4"/>
        <v>-0.005154850059321703</v>
      </c>
      <c r="Q198" s="311">
        <f t="shared" si="4"/>
        <v>-0.004523584323724128</v>
      </c>
      <c r="R198" s="311">
        <f t="shared" si="4"/>
        <v>-0.004007105382740517</v>
      </c>
      <c r="S198" s="311">
        <f t="shared" si="4"/>
        <v>-0.0037328909166320923</v>
      </c>
      <c r="T198" s="311">
        <f t="shared" si="4"/>
        <v>-0.0034554537885095327</v>
      </c>
    </row>
    <row r="199" spans="1:20" ht="12.75">
      <c r="A199" s="383" t="s">
        <v>254</v>
      </c>
      <c r="B199" s="293"/>
      <c r="C199" s="294"/>
      <c r="D199" s="311">
        <f aca="true" t="shared" si="5" ref="D199:T199">SUM(D$14:D$26,D$108:D$120)/SUM(C$14:C$26,C$108:C$120)-1</f>
        <v>-0.00506771625818947</v>
      </c>
      <c r="E199" s="311">
        <f t="shared" si="5"/>
        <v>-0.009567745197168853</v>
      </c>
      <c r="F199" s="311">
        <f t="shared" si="5"/>
        <v>-0.006993096231639906</v>
      </c>
      <c r="G199" s="311">
        <f t="shared" si="5"/>
        <v>-0.004292231574889116</v>
      </c>
      <c r="H199" s="311">
        <f t="shared" si="5"/>
        <v>-0.002465120481150218</v>
      </c>
      <c r="I199" s="311">
        <f t="shared" si="5"/>
        <v>0.002820545995600998</v>
      </c>
      <c r="J199" s="311">
        <f t="shared" si="5"/>
        <v>0.00599938070908812</v>
      </c>
      <c r="K199" s="311">
        <f t="shared" si="5"/>
        <v>0.007207623151603837</v>
      </c>
      <c r="L199" s="311">
        <f t="shared" si="5"/>
        <v>0.008543961291143987</v>
      </c>
      <c r="M199" s="311">
        <f t="shared" si="5"/>
        <v>0.007499431861222705</v>
      </c>
      <c r="N199" s="311">
        <f t="shared" si="5"/>
        <v>0.0076691729323308255</v>
      </c>
      <c r="O199" s="311">
        <f t="shared" si="5"/>
        <v>0.0045018156494056605</v>
      </c>
      <c r="P199" s="311">
        <f t="shared" si="5"/>
        <v>0.00521207319186856</v>
      </c>
      <c r="Q199" s="311">
        <f t="shared" si="5"/>
        <v>0.007118664942422637</v>
      </c>
      <c r="R199" s="311">
        <f t="shared" si="5"/>
        <v>0.006053342790407701</v>
      </c>
      <c r="S199" s="311">
        <f t="shared" si="5"/>
        <v>0.0035858413964118263</v>
      </c>
      <c r="T199" s="311">
        <f t="shared" si="5"/>
        <v>0.0035366931918656697</v>
      </c>
    </row>
    <row r="200" spans="1:20" ht="12.75">
      <c r="A200" s="383" t="s">
        <v>253</v>
      </c>
      <c r="B200" s="293"/>
      <c r="C200" s="294"/>
      <c r="D200" s="311">
        <f aca="true" t="shared" si="6" ref="D200:T200">SUM(D$27:D$33,D$121:D$127)/SUM(C$27:C$33,C$121:C$127)-1</f>
        <v>0.013718919968920051</v>
      </c>
      <c r="E200" s="311">
        <f t="shared" si="6"/>
        <v>0.017748928118038743</v>
      </c>
      <c r="F200" s="311">
        <f t="shared" si="6"/>
        <v>0.01638032478230178</v>
      </c>
      <c r="G200" s="311">
        <f t="shared" si="6"/>
        <v>0.015213263557634527</v>
      </c>
      <c r="H200" s="311">
        <f t="shared" si="6"/>
        <v>0.010879729945487249</v>
      </c>
      <c r="I200" s="311">
        <f t="shared" si="6"/>
        <v>0.008506317689530585</v>
      </c>
      <c r="J200" s="311">
        <f t="shared" si="6"/>
        <v>0.003959997315255981</v>
      </c>
      <c r="K200" s="311">
        <f t="shared" si="6"/>
        <v>-0.0009136693853901701</v>
      </c>
      <c r="L200" s="311">
        <f t="shared" si="6"/>
        <v>-0.009390404389623686</v>
      </c>
      <c r="M200" s="311">
        <f t="shared" si="6"/>
        <v>-0.013082049896424364</v>
      </c>
      <c r="N200" s="311">
        <f t="shared" si="6"/>
        <v>-0.011361821541831074</v>
      </c>
      <c r="O200" s="311">
        <f t="shared" si="6"/>
        <v>-0.005630812544711872</v>
      </c>
      <c r="P200" s="311">
        <f t="shared" si="6"/>
        <v>-0.00531458144770125</v>
      </c>
      <c r="Q200" s="311">
        <f t="shared" si="6"/>
        <v>-0.010055996266915557</v>
      </c>
      <c r="R200" s="311">
        <f t="shared" si="6"/>
        <v>-0.00676424143863863</v>
      </c>
      <c r="S200" s="311">
        <f t="shared" si="6"/>
        <v>0.0010440890323193397</v>
      </c>
      <c r="T200" s="311">
        <f t="shared" si="6"/>
        <v>0.0002607500118523287</v>
      </c>
    </row>
    <row r="201" spans="1:20" ht="12.75">
      <c r="A201" s="383" t="s">
        <v>255</v>
      </c>
      <c r="B201" s="293"/>
      <c r="C201" s="294"/>
      <c r="D201" s="311">
        <f aca="true" t="shared" si="7" ref="D201:T201">SUM(D$74:D$99,D$168:D$193)/SUM(C$74:C$99,C$168:C$193)-1</f>
        <v>0.029474424877352856</v>
      </c>
      <c r="E201" s="311">
        <f t="shared" si="7"/>
        <v>0.021017258073702694</v>
      </c>
      <c r="F201" s="311">
        <f t="shared" si="7"/>
        <v>0.02740897764885264</v>
      </c>
      <c r="G201" s="311">
        <f t="shared" si="7"/>
        <v>0.028831535510026818</v>
      </c>
      <c r="H201" s="311">
        <f t="shared" si="7"/>
        <v>0.0305391855044419</v>
      </c>
      <c r="I201" s="311">
        <f t="shared" si="7"/>
        <v>0.04129325207831891</v>
      </c>
      <c r="J201" s="311">
        <f t="shared" si="7"/>
        <v>0.03831147540983615</v>
      </c>
      <c r="K201" s="311">
        <f t="shared" si="7"/>
        <v>0.035034813773939355</v>
      </c>
      <c r="L201" s="311">
        <f t="shared" si="7"/>
        <v>0.0346421380194033</v>
      </c>
      <c r="M201" s="311">
        <f t="shared" si="7"/>
        <v>0.03231751367449531</v>
      </c>
      <c r="N201" s="311">
        <f t="shared" si="7"/>
        <v>0.03164855253574039</v>
      </c>
      <c r="O201" s="311">
        <f t="shared" si="7"/>
        <v>0.030719180452689177</v>
      </c>
      <c r="P201" s="311">
        <f t="shared" si="7"/>
        <v>0.0313347838934106</v>
      </c>
      <c r="Q201" s="311">
        <f t="shared" si="7"/>
        <v>0.03126831364684124</v>
      </c>
      <c r="R201" s="311">
        <f t="shared" si="7"/>
        <v>0.032126079709046795</v>
      </c>
      <c r="S201" s="311">
        <f t="shared" si="7"/>
        <v>0.03181128566534519</v>
      </c>
      <c r="T201" s="311">
        <f t="shared" si="7"/>
        <v>0.030830526964853222</v>
      </c>
    </row>
    <row r="202" spans="1:20" ht="12.75">
      <c r="A202" s="383" t="s">
        <v>256</v>
      </c>
      <c r="B202" s="293"/>
      <c r="C202" s="294"/>
      <c r="D202" s="311">
        <f aca="true" t="shared" si="8" ref="D202:T202">SUM(D$9:D$28,D$103:D$122)/SUM(C$9:C$28,C$103:C$122)-1</f>
        <v>0.005050463028447361</v>
      </c>
      <c r="E202" s="311">
        <f t="shared" si="8"/>
        <v>0.0032783085252579003</v>
      </c>
      <c r="F202" s="311">
        <f t="shared" si="8"/>
        <v>0.0044145556564072486</v>
      </c>
      <c r="G202" s="311">
        <f t="shared" si="8"/>
        <v>0.003072499486547642</v>
      </c>
      <c r="H202" s="311">
        <f t="shared" si="8"/>
        <v>4.914045160075986E-05</v>
      </c>
      <c r="I202" s="311">
        <f t="shared" si="8"/>
        <v>0.0009581917202408086</v>
      </c>
      <c r="J202" s="311">
        <f t="shared" si="8"/>
        <v>0.0008836379702508168</v>
      </c>
      <c r="K202" s="311">
        <f t="shared" si="8"/>
        <v>0.0015368266165289857</v>
      </c>
      <c r="L202" s="311">
        <f t="shared" si="8"/>
        <v>0.001207985765356856</v>
      </c>
      <c r="M202" s="311">
        <f t="shared" si="8"/>
        <v>0.0017038136076825694</v>
      </c>
      <c r="N202" s="311">
        <f t="shared" si="8"/>
        <v>0.0026937945066123348</v>
      </c>
      <c r="O202" s="311">
        <f t="shared" si="8"/>
        <v>0.0024836452770158335</v>
      </c>
      <c r="P202" s="311">
        <f t="shared" si="8"/>
        <v>0.002914696547703821</v>
      </c>
      <c r="Q202" s="311">
        <f t="shared" si="8"/>
        <v>0.0011382717644019547</v>
      </c>
      <c r="R202" s="311">
        <f t="shared" si="8"/>
        <v>0.0018385169296766257</v>
      </c>
      <c r="S202" s="311">
        <f t="shared" si="8"/>
        <v>0.0033161355752127086</v>
      </c>
      <c r="T202" s="311">
        <f t="shared" si="8"/>
        <v>0.002775705358073921</v>
      </c>
    </row>
    <row r="203" spans="1:20" ht="12.75">
      <c r="A203" s="383" t="s">
        <v>257</v>
      </c>
      <c r="B203" s="293"/>
      <c r="C203" s="294"/>
      <c r="D203" s="311">
        <f aca="true" t="shared" si="9" ref="D203:T203">SUM(D$24:D$99,D$118:D$193)/SUM(C$24:C$99,C$118:C$193)-1</f>
        <v>0.01320563537520636</v>
      </c>
      <c r="E203" s="311">
        <f t="shared" si="9"/>
        <v>0.011811907720406634</v>
      </c>
      <c r="F203" s="311">
        <f t="shared" si="9"/>
        <v>0.012049832805610672</v>
      </c>
      <c r="G203" s="311">
        <f t="shared" si="9"/>
        <v>0.013058403167232946</v>
      </c>
      <c r="H203" s="311">
        <f t="shared" si="9"/>
        <v>0.011279540967708446</v>
      </c>
      <c r="I203" s="311">
        <f t="shared" si="9"/>
        <v>0.01063143594310123</v>
      </c>
      <c r="J203" s="311">
        <f t="shared" si="9"/>
        <v>0.010434875925230402</v>
      </c>
      <c r="K203" s="311">
        <f t="shared" si="9"/>
        <v>0.009986137352010704</v>
      </c>
      <c r="L203" s="311">
        <f t="shared" si="9"/>
        <v>0.010324626628183342</v>
      </c>
      <c r="M203" s="311">
        <f t="shared" si="9"/>
        <v>0.009816488633251241</v>
      </c>
      <c r="N203" s="311">
        <f t="shared" si="9"/>
        <v>0.009029412722005858</v>
      </c>
      <c r="O203" s="311">
        <f t="shared" si="9"/>
        <v>0.009013125885385831</v>
      </c>
      <c r="P203" s="311">
        <f t="shared" si="9"/>
        <v>0.009241646819371008</v>
      </c>
      <c r="Q203" s="311">
        <f t="shared" si="9"/>
        <v>0.008985442210988959</v>
      </c>
      <c r="R203" s="311">
        <f t="shared" si="9"/>
        <v>0.009156574813140361</v>
      </c>
      <c r="S203" s="311">
        <f t="shared" si="9"/>
        <v>0.009731969025688292</v>
      </c>
      <c r="T203" s="311">
        <f t="shared" si="9"/>
        <v>0.010095175009563695</v>
      </c>
    </row>
    <row r="204" spans="1:20" ht="12.75">
      <c r="A204" s="383" t="s">
        <v>258</v>
      </c>
      <c r="B204" s="293"/>
      <c r="C204" s="294"/>
      <c r="D204" s="311">
        <f aca="true" t="shared" si="10" ref="D204:T204">SUM(D$121:D$122)/SUM(C$121:C$122)-1</f>
        <v>0.03122362869198314</v>
      </c>
      <c r="E204" s="311">
        <f t="shared" si="10"/>
        <v>0.033060556464811874</v>
      </c>
      <c r="F204" s="311">
        <f t="shared" si="10"/>
        <v>0.02978453738910014</v>
      </c>
      <c r="G204" s="311">
        <f t="shared" si="10"/>
        <v>-0.005384615384615432</v>
      </c>
      <c r="H204" s="311">
        <f t="shared" si="10"/>
        <v>-0.018252126836813654</v>
      </c>
      <c r="I204" s="311">
        <f t="shared" si="10"/>
        <v>-0.013392153773436277</v>
      </c>
      <c r="J204" s="311">
        <f t="shared" si="10"/>
        <v>-0.009262216544235091</v>
      </c>
      <c r="K204" s="311">
        <f t="shared" si="10"/>
        <v>-0.00918762088974856</v>
      </c>
      <c r="L204" s="311">
        <f t="shared" si="10"/>
        <v>-0.0167561412070929</v>
      </c>
      <c r="M204" s="311">
        <f t="shared" si="10"/>
        <v>-0.00794176042356054</v>
      </c>
      <c r="N204" s="311">
        <f t="shared" si="10"/>
        <v>-0.010006671114076049</v>
      </c>
      <c r="O204" s="311">
        <f t="shared" si="10"/>
        <v>0.00876010781671166</v>
      </c>
      <c r="P204" s="311">
        <f t="shared" si="10"/>
        <v>0.00868403473613899</v>
      </c>
      <c r="Q204" s="311">
        <f t="shared" si="10"/>
        <v>-0.022019867549668892</v>
      </c>
      <c r="R204" s="311">
        <f t="shared" si="10"/>
        <v>-0.014389707127137275</v>
      </c>
      <c r="S204" s="311">
        <f t="shared" si="10"/>
        <v>0.015115080728272057</v>
      </c>
      <c r="T204" s="311">
        <f t="shared" si="10"/>
        <v>0.012859560067681963</v>
      </c>
    </row>
    <row r="205" spans="1:20" ht="12.75">
      <c r="A205" s="383" t="s">
        <v>266</v>
      </c>
      <c r="B205" s="293"/>
      <c r="C205" s="294"/>
      <c r="D205" s="311">
        <f aca="true" t="shared" si="11" ref="D205:T205">SUM(D$123:D$127)/SUM(C$123:C$127)-1</f>
        <v>0.0035775713794290454</v>
      </c>
      <c r="E205" s="311">
        <f t="shared" si="11"/>
        <v>0.006581202440529177</v>
      </c>
      <c r="F205" s="311">
        <f t="shared" si="11"/>
        <v>0.004631206156779921</v>
      </c>
      <c r="G205" s="311">
        <f t="shared" si="11"/>
        <v>0.017558131652091413</v>
      </c>
      <c r="H205" s="311">
        <f t="shared" si="11"/>
        <v>0.017921385742838192</v>
      </c>
      <c r="I205" s="311">
        <f t="shared" si="11"/>
        <v>0.015380587734799445</v>
      </c>
      <c r="J205" s="311">
        <f t="shared" si="11"/>
        <v>0.007348201624339357</v>
      </c>
      <c r="K205" s="311">
        <f t="shared" si="11"/>
        <v>0.0003839262861531356</v>
      </c>
      <c r="L205" s="311">
        <f t="shared" si="11"/>
        <v>-0.008251247281565788</v>
      </c>
      <c r="M205" s="311">
        <f t="shared" si="11"/>
        <v>-0.015414382457271891</v>
      </c>
      <c r="N205" s="311">
        <f t="shared" si="11"/>
        <v>-0.011987423031573408</v>
      </c>
      <c r="O205" s="311">
        <f t="shared" si="11"/>
        <v>-0.011138367698733664</v>
      </c>
      <c r="P205" s="311">
        <f t="shared" si="11"/>
        <v>-0.010526315789473717</v>
      </c>
      <c r="Q205" s="311">
        <f t="shared" si="11"/>
        <v>-0.003930071825450576</v>
      </c>
      <c r="R205" s="311">
        <f t="shared" si="11"/>
        <v>-0.003401360544217691</v>
      </c>
      <c r="S205" s="311">
        <f t="shared" si="11"/>
        <v>-0.005938566552901037</v>
      </c>
      <c r="T205" s="311">
        <f t="shared" si="11"/>
        <v>-0.005768042298976872</v>
      </c>
    </row>
    <row r="206" spans="1:20" ht="12.75">
      <c r="A206" s="383" t="s">
        <v>268</v>
      </c>
      <c r="B206" s="293"/>
      <c r="C206" s="294"/>
      <c r="D206" s="311">
        <f aca="true" t="shared" si="12" ref="D206:T206">SUM(D$128:D$132)/SUM(C$128:C$132)-1</f>
        <v>0.01744011976047899</v>
      </c>
      <c r="E206" s="311">
        <f t="shared" si="12"/>
        <v>0.022438019568895795</v>
      </c>
      <c r="F206" s="311">
        <f t="shared" si="12"/>
        <v>0.016477190962728372</v>
      </c>
      <c r="G206" s="311">
        <f t="shared" si="12"/>
        <v>0.0174842500176966</v>
      </c>
      <c r="H206" s="311">
        <f t="shared" si="12"/>
        <v>0.009739807986642646</v>
      </c>
      <c r="I206" s="311">
        <f t="shared" si="12"/>
        <v>0.0009645859170455129</v>
      </c>
      <c r="J206" s="311">
        <f t="shared" si="12"/>
        <v>0.0021338105726871337</v>
      </c>
      <c r="K206" s="311">
        <f t="shared" si="12"/>
        <v>0.0048767085651486575</v>
      </c>
      <c r="L206" s="311">
        <f t="shared" si="12"/>
        <v>0.014354066985645897</v>
      </c>
      <c r="M206" s="311">
        <f t="shared" si="12"/>
        <v>0.01812668463611855</v>
      </c>
      <c r="N206" s="311">
        <f t="shared" si="12"/>
        <v>0.015553643523727567</v>
      </c>
      <c r="O206" s="311">
        <f t="shared" si="12"/>
        <v>0.007494786235662243</v>
      </c>
      <c r="P206" s="311">
        <f t="shared" si="12"/>
        <v>0.0003234361860404711</v>
      </c>
      <c r="Q206" s="311">
        <f t="shared" si="12"/>
        <v>-0.00834195550957062</v>
      </c>
      <c r="R206" s="311">
        <f t="shared" si="12"/>
        <v>-0.015520052168242593</v>
      </c>
      <c r="S206" s="311">
        <f t="shared" si="12"/>
        <v>-0.011922898589123654</v>
      </c>
      <c r="T206" s="311">
        <f t="shared" si="12"/>
        <v>-0.01132935576858618</v>
      </c>
    </row>
    <row r="207" spans="1:20" ht="12.75">
      <c r="A207" s="383" t="s">
        <v>270</v>
      </c>
      <c r="B207" s="293"/>
      <c r="C207" s="294"/>
      <c r="D207" s="311">
        <f aca="true" t="shared" si="13" ref="D207:T207">SUM(D$133:D$137)/SUM(C$133:C$137)-1</f>
        <v>-0.02952769056049165</v>
      </c>
      <c r="E207" s="311">
        <f t="shared" si="13"/>
        <v>-0.026502374888139335</v>
      </c>
      <c r="F207" s="311">
        <f t="shared" si="13"/>
        <v>-0.007990383255550793</v>
      </c>
      <c r="G207" s="311">
        <f t="shared" si="13"/>
        <v>0.003777888659205919</v>
      </c>
      <c r="H207" s="311">
        <f t="shared" si="13"/>
        <v>0.013492401647493324</v>
      </c>
      <c r="I207" s="311">
        <f t="shared" si="13"/>
        <v>0.01632567264573992</v>
      </c>
      <c r="J207" s="311">
        <f t="shared" si="13"/>
        <v>0.02302654257152703</v>
      </c>
      <c r="K207" s="311">
        <f t="shared" si="13"/>
        <v>0.015364916773367376</v>
      </c>
      <c r="L207" s="311">
        <f t="shared" si="13"/>
        <v>0.013340412822725245</v>
      </c>
      <c r="M207" s="311">
        <f t="shared" si="13"/>
        <v>0.009169504846738175</v>
      </c>
      <c r="N207" s="311">
        <f t="shared" si="13"/>
        <v>0.0009086188992730726</v>
      </c>
      <c r="O207" s="311">
        <f t="shared" si="13"/>
        <v>0.0021398002853068032</v>
      </c>
      <c r="P207" s="311">
        <f t="shared" si="13"/>
        <v>0.004593982529925489</v>
      </c>
      <c r="Q207" s="311">
        <f t="shared" si="13"/>
        <v>0.01352569882777277</v>
      </c>
      <c r="R207" s="311">
        <f t="shared" si="13"/>
        <v>0.017031011692933307</v>
      </c>
      <c r="S207" s="311">
        <f t="shared" si="13"/>
        <v>0.01468382904273935</v>
      </c>
      <c r="T207" s="311">
        <f t="shared" si="13"/>
        <v>0.007081716854486109</v>
      </c>
    </row>
    <row r="208" spans="1:20" ht="12.75">
      <c r="A208" s="383" t="s">
        <v>271</v>
      </c>
      <c r="B208" s="293"/>
      <c r="C208" s="294"/>
      <c r="D208" s="311">
        <f aca="true" t="shared" si="14" ref="D208:T208">SUM(D$138:D$142)/SUM(C$138:C$142)-1</f>
        <v>0.007220658426141169</v>
      </c>
      <c r="E208" s="311">
        <f t="shared" si="14"/>
        <v>-0.005285540704738745</v>
      </c>
      <c r="F208" s="311">
        <f t="shared" si="14"/>
        <v>-0.011604470775056441</v>
      </c>
      <c r="G208" s="311">
        <f t="shared" si="14"/>
        <v>-0.016189828832725683</v>
      </c>
      <c r="H208" s="311">
        <f t="shared" si="14"/>
        <v>-0.030965391621129323</v>
      </c>
      <c r="I208" s="311">
        <f t="shared" si="14"/>
        <v>-0.027871402644542353</v>
      </c>
      <c r="J208" s="311">
        <f t="shared" si="14"/>
        <v>-0.020869449259901307</v>
      </c>
      <c r="K208" s="311">
        <f t="shared" si="14"/>
        <v>-0.007218249914879182</v>
      </c>
      <c r="L208" s="311">
        <f t="shared" si="14"/>
        <v>0.0021263461142739803</v>
      </c>
      <c r="M208" s="311">
        <f t="shared" si="14"/>
        <v>0.013004791238877544</v>
      </c>
      <c r="N208" s="311">
        <f t="shared" si="14"/>
        <v>0.015675675675675738</v>
      </c>
      <c r="O208" s="311">
        <f t="shared" si="14"/>
        <v>0.022086216072378928</v>
      </c>
      <c r="P208" s="311">
        <f t="shared" si="14"/>
        <v>0.014904972663368987</v>
      </c>
      <c r="Q208" s="311">
        <f t="shared" si="14"/>
        <v>0.0129545308792407</v>
      </c>
      <c r="R208" s="311">
        <f t="shared" si="14"/>
        <v>0.008863564419119951</v>
      </c>
      <c r="S208" s="311">
        <f t="shared" si="14"/>
        <v>0.0010040790712269043</v>
      </c>
      <c r="T208" s="311">
        <f t="shared" si="14"/>
        <v>0.0020061438154348465</v>
      </c>
    </row>
    <row r="209" spans="1:20" ht="12.75">
      <c r="A209" s="383" t="s">
        <v>274</v>
      </c>
      <c r="B209" s="293"/>
      <c r="C209" s="294"/>
      <c r="D209" s="311">
        <f aca="true" t="shared" si="15" ref="D209:T209">SUM(D$143:D$147)/SUM(C$143:C$147)-1</f>
        <v>-0.01026780353068335</v>
      </c>
      <c r="E209" s="311">
        <f t="shared" si="15"/>
        <v>-0.012679730631559805</v>
      </c>
      <c r="F209" s="311">
        <f t="shared" si="15"/>
        <v>-0.0012904018680103269</v>
      </c>
      <c r="G209" s="311">
        <f t="shared" si="15"/>
        <v>0.004491478496277512</v>
      </c>
      <c r="H209" s="311">
        <f t="shared" si="15"/>
        <v>0.011944138184490916</v>
      </c>
      <c r="I209" s="311">
        <f t="shared" si="15"/>
        <v>0.008050360147690894</v>
      </c>
      <c r="J209" s="311">
        <f t="shared" si="15"/>
        <v>-0.0024018253872943873</v>
      </c>
      <c r="K209" s="311">
        <f t="shared" si="15"/>
        <v>-0.011255567593595805</v>
      </c>
      <c r="L209" s="311">
        <f t="shared" si="15"/>
        <v>-0.016740731722164726</v>
      </c>
      <c r="M209" s="311">
        <f t="shared" si="15"/>
        <v>-0.0303987122337791</v>
      </c>
      <c r="N209" s="311">
        <f t="shared" si="15"/>
        <v>-0.0270736223740502</v>
      </c>
      <c r="O209" s="311">
        <f t="shared" si="15"/>
        <v>-0.02054210146354274</v>
      </c>
      <c r="P209" s="311">
        <f t="shared" si="15"/>
        <v>-0.0070356472795497504</v>
      </c>
      <c r="Q209" s="311">
        <f t="shared" si="15"/>
        <v>0.0021593899723328924</v>
      </c>
      <c r="R209" s="311">
        <f t="shared" si="15"/>
        <v>0.012793751262541342</v>
      </c>
      <c r="S209" s="311">
        <f t="shared" si="15"/>
        <v>0.015424506349311917</v>
      </c>
      <c r="T209" s="311">
        <f t="shared" si="15"/>
        <v>0.02186865710731345</v>
      </c>
    </row>
    <row r="210" spans="1:20" ht="12.75">
      <c r="A210" s="383" t="s">
        <v>275</v>
      </c>
      <c r="B210" s="293"/>
      <c r="C210" s="294"/>
      <c r="D210" s="311">
        <f aca="true" t="shared" si="16" ref="D210:T210">SUM(D$148:D$152)/SUM(C$148:C$152)-1</f>
        <v>0.029029157321371457</v>
      </c>
      <c r="E210" s="311">
        <f t="shared" si="16"/>
        <v>0.024536056794121297</v>
      </c>
      <c r="F210" s="311">
        <f t="shared" si="16"/>
        <v>0.012035010940919078</v>
      </c>
      <c r="G210" s="311">
        <f t="shared" si="16"/>
        <v>0.004084084084084116</v>
      </c>
      <c r="H210" s="311">
        <f t="shared" si="16"/>
        <v>-0.008134944371336328</v>
      </c>
      <c r="I210" s="311">
        <f t="shared" si="16"/>
        <v>-0.010493305994451863</v>
      </c>
      <c r="J210" s="311">
        <f t="shared" si="16"/>
        <v>-0.009690394929302792</v>
      </c>
      <c r="K210" s="311">
        <f t="shared" si="16"/>
        <v>-0.0011077604775678873</v>
      </c>
      <c r="L210" s="311">
        <f t="shared" si="16"/>
        <v>0.0036966299057359375</v>
      </c>
      <c r="M210" s="311">
        <f t="shared" si="16"/>
        <v>0.012031182861702794</v>
      </c>
      <c r="N210" s="311">
        <f t="shared" si="16"/>
        <v>0.008006308000242601</v>
      </c>
      <c r="O210" s="311">
        <f t="shared" si="16"/>
        <v>-0.002166195318611175</v>
      </c>
      <c r="P210" s="311">
        <f t="shared" si="16"/>
        <v>-0.011216305855394126</v>
      </c>
      <c r="Q210" s="311">
        <f t="shared" si="16"/>
        <v>-0.016527413551259418</v>
      </c>
      <c r="R210" s="311">
        <f t="shared" si="16"/>
        <v>-0.030137665881185716</v>
      </c>
      <c r="S210" s="311">
        <f t="shared" si="16"/>
        <v>-0.026918158567774908</v>
      </c>
      <c r="T210" s="311">
        <f t="shared" si="16"/>
        <v>-0.020237860569025545</v>
      </c>
    </row>
    <row r="211" spans="1:20" ht="12.75">
      <c r="A211" s="383" t="s">
        <v>276</v>
      </c>
      <c r="B211" s="293"/>
      <c r="C211" s="294"/>
      <c r="D211" s="311">
        <f aca="true" t="shared" si="17" ref="D211:T211">SUM(D$153:D$157)/SUM(C$153:C$157)-1</f>
        <v>0.025573917595154372</v>
      </c>
      <c r="E211" s="311">
        <f t="shared" si="17"/>
        <v>0.02661319722931088</v>
      </c>
      <c r="F211" s="311">
        <f t="shared" si="17"/>
        <v>0.02883522727272725</v>
      </c>
      <c r="G211" s="311">
        <f t="shared" si="17"/>
        <v>0.027612867596299884</v>
      </c>
      <c r="H211" s="311">
        <f t="shared" si="17"/>
        <v>0.030565632137578902</v>
      </c>
      <c r="I211" s="311">
        <f t="shared" si="17"/>
        <v>0.02972426830063224</v>
      </c>
      <c r="J211" s="311">
        <f t="shared" si="17"/>
        <v>0.02665062986643041</v>
      </c>
      <c r="K211" s="311">
        <f t="shared" si="17"/>
        <v>0.012331976815883605</v>
      </c>
      <c r="L211" s="311">
        <f t="shared" si="17"/>
        <v>0.0034108904860519207</v>
      </c>
      <c r="M211" s="311">
        <f t="shared" si="17"/>
        <v>-0.00801262595605201</v>
      </c>
      <c r="N211" s="311">
        <f t="shared" si="17"/>
        <v>-0.010402643495288189</v>
      </c>
      <c r="O211" s="311">
        <f t="shared" si="17"/>
        <v>-0.009522631709126927</v>
      </c>
      <c r="P211" s="311">
        <f t="shared" si="17"/>
        <v>-0.0009988762642028082</v>
      </c>
      <c r="Q211" s="311">
        <f t="shared" si="17"/>
        <v>0.003937007874015741</v>
      </c>
      <c r="R211" s="311">
        <f t="shared" si="17"/>
        <v>0.01226268285091825</v>
      </c>
      <c r="S211" s="311">
        <f t="shared" si="17"/>
        <v>0.008117082769647066</v>
      </c>
      <c r="T211" s="311">
        <f t="shared" si="17"/>
        <v>-0.0019519336342563864</v>
      </c>
    </row>
    <row r="212" spans="1:20" ht="12.75">
      <c r="A212" s="383" t="s">
        <v>277</v>
      </c>
      <c r="B212" s="293"/>
      <c r="C212" s="294"/>
      <c r="D212" s="311">
        <f aca="true" t="shared" si="18" ref="D212:T212">SUM(D$158:D$162)/SUM(C$158:C$162)-1</f>
        <v>0.0008134710811029677</v>
      </c>
      <c r="E212" s="311">
        <f t="shared" si="18"/>
        <v>0.0039014874420872925</v>
      </c>
      <c r="F212" s="311">
        <f t="shared" si="18"/>
        <v>0.017488462472674327</v>
      </c>
      <c r="G212" s="311">
        <f t="shared" si="18"/>
        <v>0.017108299514601688</v>
      </c>
      <c r="H212" s="311">
        <f t="shared" si="18"/>
        <v>0.025191675794085322</v>
      </c>
      <c r="I212" s="311">
        <f t="shared" si="18"/>
        <v>0.02678571428571419</v>
      </c>
      <c r="J212" s="311">
        <f t="shared" si="18"/>
        <v>0.027796358231140905</v>
      </c>
      <c r="K212" s="311">
        <f t="shared" si="18"/>
        <v>0.029430906066960638</v>
      </c>
      <c r="L212" s="311">
        <f t="shared" si="18"/>
        <v>0.02704411351503233</v>
      </c>
      <c r="M212" s="311">
        <f t="shared" si="18"/>
        <v>0.030914438136926403</v>
      </c>
      <c r="N212" s="311">
        <f t="shared" si="18"/>
        <v>0.03018642605984212</v>
      </c>
      <c r="O212" s="311">
        <f t="shared" si="18"/>
        <v>0.026919113858835608</v>
      </c>
      <c r="P212" s="311">
        <f t="shared" si="18"/>
        <v>0.01266775366863171</v>
      </c>
      <c r="Q212" s="311">
        <f t="shared" si="18"/>
        <v>0.0035298488976962528</v>
      </c>
      <c r="R212" s="311">
        <f t="shared" si="18"/>
        <v>-0.007837087318728786</v>
      </c>
      <c r="S212" s="311">
        <f t="shared" si="18"/>
        <v>-0.01013807687523327</v>
      </c>
      <c r="T212" s="311">
        <f t="shared" si="18"/>
        <v>-0.009362236883443287</v>
      </c>
    </row>
    <row r="213" spans="1:20" ht="12.75">
      <c r="A213" s="383" t="s">
        <v>278</v>
      </c>
      <c r="B213" s="293"/>
      <c r="C213" s="294"/>
      <c r="D213" s="311">
        <f aca="true" t="shared" si="19" ref="D213:T213">SUM(D$163:D$167)/SUM(C$163:C$167)-1</f>
        <v>0.058469656992084396</v>
      </c>
      <c r="E213" s="311">
        <f t="shared" si="19"/>
        <v>0.07219064712334222</v>
      </c>
      <c r="F213" s="311">
        <f t="shared" si="19"/>
        <v>0.04575467311447978</v>
      </c>
      <c r="G213" s="311">
        <f t="shared" si="19"/>
        <v>0.04206313917296578</v>
      </c>
      <c r="H213" s="311">
        <f t="shared" si="19"/>
        <v>0.02978323946065875</v>
      </c>
      <c r="I213" s="311">
        <f t="shared" si="19"/>
        <v>0.0004143531946632084</v>
      </c>
      <c r="J213" s="311">
        <f t="shared" si="19"/>
        <v>0.005301524188204176</v>
      </c>
      <c r="K213" s="311">
        <f t="shared" si="19"/>
        <v>0.017633487145682247</v>
      </c>
      <c r="L213" s="311">
        <f t="shared" si="19"/>
        <v>0.017165991902833966</v>
      </c>
      <c r="M213" s="311">
        <f t="shared" si="19"/>
        <v>0.02539404553415059</v>
      </c>
      <c r="N213" s="311">
        <f t="shared" si="19"/>
        <v>0.026938902259141306</v>
      </c>
      <c r="O213" s="311">
        <f t="shared" si="19"/>
        <v>0.02819776232234661</v>
      </c>
      <c r="P213" s="311">
        <f t="shared" si="19"/>
        <v>0.029630174251893182</v>
      </c>
      <c r="Q213" s="311">
        <f t="shared" si="19"/>
        <v>0.027420736932304957</v>
      </c>
      <c r="R213" s="311">
        <f t="shared" si="19"/>
        <v>0.031067556296914045</v>
      </c>
      <c r="S213" s="311">
        <f t="shared" si="19"/>
        <v>0.030535894843276123</v>
      </c>
      <c r="T213" s="311">
        <f t="shared" si="19"/>
        <v>0.026883830455258995</v>
      </c>
    </row>
    <row r="214" spans="1:20" ht="12.75">
      <c r="A214" s="383" t="s">
        <v>279</v>
      </c>
      <c r="B214" s="293"/>
      <c r="C214" s="294"/>
      <c r="D214" s="311">
        <f aca="true" t="shared" si="20" ref="D214:T214">SUM(D$168:D$193)/SUM(C$168:C$193)-1</f>
        <v>0.02547049667468526</v>
      </c>
      <c r="E214" s="311">
        <f t="shared" si="20"/>
        <v>0.01793845729267285</v>
      </c>
      <c r="F214" s="311">
        <f t="shared" si="20"/>
        <v>0.0237223803714246</v>
      </c>
      <c r="G214" s="311">
        <f t="shared" si="20"/>
        <v>0.025854078389830448</v>
      </c>
      <c r="H214" s="311">
        <f t="shared" si="20"/>
        <v>0.02800993901061677</v>
      </c>
      <c r="I214" s="311">
        <f t="shared" si="20"/>
        <v>0.03832752613240409</v>
      </c>
      <c r="J214" s="311">
        <f t="shared" si="20"/>
        <v>0.03591510974061318</v>
      </c>
      <c r="K214" s="311">
        <f t="shared" si="20"/>
        <v>0.03259791046518412</v>
      </c>
      <c r="L214" s="311">
        <f t="shared" si="20"/>
        <v>0.03317977559845131</v>
      </c>
      <c r="M214" s="311">
        <f t="shared" si="20"/>
        <v>0.03115682359055727</v>
      </c>
      <c r="N214" s="311">
        <f t="shared" si="20"/>
        <v>0.030427631578947345</v>
      </c>
      <c r="O214" s="311">
        <f t="shared" si="20"/>
        <v>0.029966789382900316</v>
      </c>
      <c r="P214" s="311">
        <f t="shared" si="20"/>
        <v>0.030894593446146867</v>
      </c>
      <c r="Q214" s="311">
        <f t="shared" si="20"/>
        <v>0.031108309288849112</v>
      </c>
      <c r="R214" s="311">
        <f t="shared" si="20"/>
        <v>0.03174528523726661</v>
      </c>
      <c r="S214" s="311">
        <f t="shared" si="20"/>
        <v>0.0315206491020148</v>
      </c>
      <c r="T214" s="311">
        <f t="shared" si="20"/>
        <v>0.031154024613889053</v>
      </c>
    </row>
    <row r="215" spans="1:20" ht="12.75">
      <c r="A215" s="383" t="s">
        <v>265</v>
      </c>
      <c r="B215" s="293"/>
      <c r="C215" s="294"/>
      <c r="D215" s="311">
        <f aca="true" t="shared" si="21" ref="D215:T215">SUM(D$27:D$28)/SUM(C$27:C$28)-1</f>
        <v>0.03029809415214202</v>
      </c>
      <c r="E215" s="311">
        <f t="shared" si="21"/>
        <v>0.029881422924901146</v>
      </c>
      <c r="F215" s="311">
        <f t="shared" si="21"/>
        <v>0.03331286459932459</v>
      </c>
      <c r="G215" s="311">
        <f t="shared" si="21"/>
        <v>0.009508245431585127</v>
      </c>
      <c r="H215" s="311">
        <f t="shared" si="21"/>
        <v>-0.015305371596762374</v>
      </c>
      <c r="I215" s="311">
        <f t="shared" si="21"/>
        <v>-0.013749813181886061</v>
      </c>
      <c r="J215" s="311">
        <f t="shared" si="21"/>
        <v>-0.009546901045612954</v>
      </c>
      <c r="K215" s="311">
        <f t="shared" si="21"/>
        <v>-0.00550795593635256</v>
      </c>
      <c r="L215" s="311">
        <f t="shared" si="21"/>
        <v>-0.02230769230769236</v>
      </c>
      <c r="M215" s="311">
        <f t="shared" si="21"/>
        <v>-0.014948859166010964</v>
      </c>
      <c r="N215" s="311">
        <f t="shared" si="21"/>
        <v>-0.002715654952076707</v>
      </c>
      <c r="O215" s="311">
        <f t="shared" si="21"/>
        <v>0.01025148165945855</v>
      </c>
      <c r="P215" s="311">
        <f t="shared" si="21"/>
        <v>0.005549389567147678</v>
      </c>
      <c r="Q215" s="311">
        <f t="shared" si="21"/>
        <v>-0.027120782087669548</v>
      </c>
      <c r="R215" s="311">
        <f t="shared" si="21"/>
        <v>-0.010372771474878473</v>
      </c>
      <c r="S215" s="311">
        <f t="shared" si="21"/>
        <v>0.02260072060268592</v>
      </c>
      <c r="T215" s="311">
        <f t="shared" si="21"/>
        <v>0.012491992312620104</v>
      </c>
    </row>
    <row r="216" spans="1:20" ht="12.75">
      <c r="A216" s="383" t="s">
        <v>267</v>
      </c>
      <c r="B216" s="293"/>
      <c r="C216" s="294"/>
      <c r="D216" s="311">
        <f aca="true" t="shared" si="22" ref="D216:T216">SUM(D$29:D$33)/SUM(C$29:C$33)-1</f>
        <v>0.009736030167980747</v>
      </c>
      <c r="E216" s="311">
        <f t="shared" si="22"/>
        <v>0.0172472329734501</v>
      </c>
      <c r="F216" s="311">
        <f t="shared" si="22"/>
        <v>0.014885521660770396</v>
      </c>
      <c r="G216" s="311">
        <f t="shared" si="22"/>
        <v>0.024269928966061505</v>
      </c>
      <c r="H216" s="311">
        <f t="shared" si="22"/>
        <v>0.027611892377833458</v>
      </c>
      <c r="I216" s="311">
        <f t="shared" si="22"/>
        <v>0.019933762419546364</v>
      </c>
      <c r="J216" s="311">
        <f t="shared" si="22"/>
        <v>0.011273128293101342</v>
      </c>
      <c r="K216" s="311">
        <f t="shared" si="22"/>
        <v>0.0027868653822851197</v>
      </c>
      <c r="L216" s="311">
        <f t="shared" si="22"/>
        <v>-0.0026582890285161698</v>
      </c>
      <c r="M216" s="311">
        <f t="shared" si="22"/>
        <v>-0.012054761327841002</v>
      </c>
      <c r="N216" s="311">
        <f t="shared" si="22"/>
        <v>-0.014593169415660023</v>
      </c>
      <c r="O216" s="311">
        <f t="shared" si="22"/>
        <v>-0.011946985252940023</v>
      </c>
      <c r="P216" s="311">
        <f t="shared" si="22"/>
        <v>-0.01001322501416968</v>
      </c>
      <c r="Q216" s="311">
        <f t="shared" si="22"/>
        <v>-0.004325699745547085</v>
      </c>
      <c r="R216" s="311">
        <f t="shared" si="22"/>
        <v>-0.005622284692052171</v>
      </c>
      <c r="S216" s="311">
        <f t="shared" si="22"/>
        <v>-0.006103829349781598</v>
      </c>
      <c r="T216" s="311">
        <f t="shared" si="22"/>
        <v>-0.0038140797724480757</v>
      </c>
    </row>
    <row r="217" spans="1:20" ht="12.75">
      <c r="A217" s="383" t="s">
        <v>269</v>
      </c>
      <c r="B217" s="293"/>
      <c r="C217" s="294"/>
      <c r="D217" s="311">
        <f aca="true" t="shared" si="23" ref="D217:T217">SUM(D$34:D$38)/SUM(C$34:C$38)-1</f>
        <v>0.025398327811957833</v>
      </c>
      <c r="E217" s="311">
        <f t="shared" si="23"/>
        <v>0.030846153846153745</v>
      </c>
      <c r="F217" s="311">
        <f t="shared" si="23"/>
        <v>0.02507275576449519</v>
      </c>
      <c r="G217" s="311">
        <f t="shared" si="23"/>
        <v>0.021402052849967212</v>
      </c>
      <c r="H217" s="311">
        <f t="shared" si="23"/>
        <v>0.01204475803577787</v>
      </c>
      <c r="I217" s="311">
        <f t="shared" si="23"/>
        <v>0.00901408450704233</v>
      </c>
      <c r="J217" s="311">
        <f t="shared" si="23"/>
        <v>0.009631490787269659</v>
      </c>
      <c r="K217" s="311">
        <f t="shared" si="23"/>
        <v>0.01555371215263368</v>
      </c>
      <c r="L217" s="311">
        <f t="shared" si="23"/>
        <v>0.02171397454223678</v>
      </c>
      <c r="M217" s="311">
        <f t="shared" si="23"/>
        <v>0.02884743504330456</v>
      </c>
      <c r="N217" s="311">
        <f t="shared" si="23"/>
        <v>0.020462345399210102</v>
      </c>
      <c r="O217" s="311">
        <f t="shared" si="23"/>
        <v>0.011802779364172844</v>
      </c>
      <c r="P217" s="311">
        <f t="shared" si="23"/>
        <v>0.0028849169018501097</v>
      </c>
      <c r="Q217" s="311">
        <f t="shared" si="23"/>
        <v>-0.0026264773935338326</v>
      </c>
      <c r="R217" s="311">
        <f t="shared" si="23"/>
        <v>-0.012414571446485723</v>
      </c>
      <c r="S217" s="311">
        <f t="shared" si="23"/>
        <v>-0.014919687638880075</v>
      </c>
      <c r="T217" s="311">
        <f t="shared" si="23"/>
        <v>-0.012309873678783223</v>
      </c>
    </row>
    <row r="218" spans="1:20" ht="12.75">
      <c r="A218" s="383" t="s">
        <v>272</v>
      </c>
      <c r="B218" s="293"/>
      <c r="C218" s="294"/>
      <c r="D218" s="311">
        <f aca="true" t="shared" si="24" ref="D218:T218">SUM(D$39:D$43)/SUM(C$39:C$43)-1</f>
        <v>-0.02743544600938963</v>
      </c>
      <c r="E218" s="311">
        <f t="shared" si="24"/>
        <v>-0.02232614270629052</v>
      </c>
      <c r="F218" s="311">
        <f t="shared" si="24"/>
        <v>-0.006634778583551881</v>
      </c>
      <c r="G218" s="311">
        <f t="shared" si="24"/>
        <v>0.007999378689033776</v>
      </c>
      <c r="H218" s="311">
        <f t="shared" si="24"/>
        <v>0.017412743662839958</v>
      </c>
      <c r="I218" s="311">
        <f t="shared" si="24"/>
        <v>0.02332449829610006</v>
      </c>
      <c r="J218" s="311">
        <f t="shared" si="24"/>
        <v>0.0313771923333086</v>
      </c>
      <c r="K218" s="311">
        <f t="shared" si="24"/>
        <v>0.024610748367654534</v>
      </c>
      <c r="L218" s="311">
        <f t="shared" si="24"/>
        <v>0.01764705882352935</v>
      </c>
      <c r="M218" s="311">
        <f t="shared" si="24"/>
        <v>0.011767134599504514</v>
      </c>
      <c r="N218" s="311">
        <f t="shared" si="24"/>
        <v>0.008569679657212781</v>
      </c>
      <c r="O218" s="311">
        <f t="shared" si="24"/>
        <v>0.00944096028053143</v>
      </c>
      <c r="P218" s="311">
        <f t="shared" si="24"/>
        <v>0.014964259469570473</v>
      </c>
      <c r="Q218" s="311">
        <f t="shared" si="24"/>
        <v>0.021128151122227434</v>
      </c>
      <c r="R218" s="311">
        <f t="shared" si="24"/>
        <v>0.027652442954750445</v>
      </c>
      <c r="S218" s="311">
        <f t="shared" si="24"/>
        <v>0.02000878128332184</v>
      </c>
      <c r="T218" s="311">
        <f t="shared" si="24"/>
        <v>0.011314721436477715</v>
      </c>
    </row>
    <row r="219" spans="1:20" ht="12.75">
      <c r="A219" s="383" t="s">
        <v>273</v>
      </c>
      <c r="B219" s="293"/>
      <c r="C219" s="294"/>
      <c r="D219" s="311">
        <f aca="true" t="shared" si="25" ref="D219:T219">SUM(D$44:D$48)/SUM(C$44:C$48)-1</f>
        <v>0.005095883062893991</v>
      </c>
      <c r="E219" s="311">
        <f t="shared" si="25"/>
        <v>-0.00767178118745826</v>
      </c>
      <c r="F219" s="311">
        <f t="shared" si="25"/>
        <v>-0.01438655462184879</v>
      </c>
      <c r="G219" s="311">
        <f t="shared" si="25"/>
        <v>-0.016983834663392705</v>
      </c>
      <c r="H219" s="311">
        <f t="shared" si="25"/>
        <v>-0.02713016930335832</v>
      </c>
      <c r="I219" s="311">
        <f t="shared" si="25"/>
        <v>-0.025604450467156425</v>
      </c>
      <c r="J219" s="311">
        <f t="shared" si="25"/>
        <v>-0.018957692870736342</v>
      </c>
      <c r="K219" s="311">
        <f t="shared" si="25"/>
        <v>-0.006118033276132251</v>
      </c>
      <c r="L219" s="311">
        <f t="shared" si="25"/>
        <v>0.005705277381578</v>
      </c>
      <c r="M219" s="311">
        <f t="shared" si="25"/>
        <v>0.017093379114727192</v>
      </c>
      <c r="N219" s="311">
        <f t="shared" si="25"/>
        <v>0.022603845589314497</v>
      </c>
      <c r="O219" s="311">
        <f t="shared" si="25"/>
        <v>0.030357399167503907</v>
      </c>
      <c r="P219" s="311">
        <f t="shared" si="25"/>
        <v>0.023821132548582646</v>
      </c>
      <c r="Q219" s="311">
        <f t="shared" si="25"/>
        <v>0.017348118919654487</v>
      </c>
      <c r="R219" s="311">
        <f t="shared" si="25"/>
        <v>0.011234452320449284</v>
      </c>
      <c r="S219" s="311">
        <f t="shared" si="25"/>
        <v>0.00853061764316898</v>
      </c>
      <c r="T219" s="311">
        <f t="shared" si="25"/>
        <v>0.009179725919611803</v>
      </c>
    </row>
    <row r="220" spans="1:20" ht="12.75">
      <c r="A220" s="383" t="s">
        <v>280</v>
      </c>
      <c r="B220" s="293"/>
      <c r="C220" s="294"/>
      <c r="D220" s="311">
        <f aca="true" t="shared" si="26" ref="D220:T220">SUM(D$49:D$53)/SUM(C$49:C$53)-1</f>
        <v>-0.014427701186277675</v>
      </c>
      <c r="E220" s="311">
        <f t="shared" si="26"/>
        <v>-0.015159401431359742</v>
      </c>
      <c r="F220" s="311">
        <f t="shared" si="26"/>
        <v>-0.007399088326616954</v>
      </c>
      <c r="G220" s="311">
        <f t="shared" si="26"/>
        <v>-0.00039933444259565576</v>
      </c>
      <c r="H220" s="311">
        <f t="shared" si="26"/>
        <v>0.005393168653039515</v>
      </c>
      <c r="I220" s="311">
        <f t="shared" si="26"/>
        <v>0.005231788079470112</v>
      </c>
      <c r="J220" s="311">
        <f t="shared" si="26"/>
        <v>-0.004084590552737355</v>
      </c>
      <c r="K220" s="311">
        <f t="shared" si="26"/>
        <v>-0.013825494476417233</v>
      </c>
      <c r="L220" s="311">
        <f t="shared" si="26"/>
        <v>-0.017775690904212493</v>
      </c>
      <c r="M220" s="311">
        <f t="shared" si="26"/>
        <v>-0.026360718432015262</v>
      </c>
      <c r="N220" s="311">
        <f t="shared" si="26"/>
        <v>-0.024970190082064914</v>
      </c>
      <c r="O220" s="311">
        <f t="shared" si="26"/>
        <v>-0.018272066757787253</v>
      </c>
      <c r="P220" s="311">
        <f t="shared" si="26"/>
        <v>-0.005935370411079388</v>
      </c>
      <c r="Q220" s="311">
        <f t="shared" si="26"/>
        <v>0.005823381984372711</v>
      </c>
      <c r="R220" s="311">
        <f t="shared" si="26"/>
        <v>0.016636130450714548</v>
      </c>
      <c r="S220" s="311">
        <f t="shared" si="26"/>
        <v>0.022130911188004587</v>
      </c>
      <c r="T220" s="311">
        <f t="shared" si="26"/>
        <v>0.029903378235418554</v>
      </c>
    </row>
    <row r="221" spans="1:20" ht="12.75">
      <c r="A221" s="383" t="s">
        <v>281</v>
      </c>
      <c r="B221" s="293"/>
      <c r="C221" s="294"/>
      <c r="D221" s="311">
        <f aca="true" t="shared" si="27" ref="D221:T221">SUM(D$54:D$58)/SUM(C$54:C$58)-1</f>
        <v>0.02226394849785418</v>
      </c>
      <c r="E221" s="311">
        <f t="shared" si="27"/>
        <v>0.018433482025715042</v>
      </c>
      <c r="F221" s="311">
        <f t="shared" si="27"/>
        <v>0.009339774557165947</v>
      </c>
      <c r="G221" s="311">
        <f t="shared" si="27"/>
        <v>0.00038289725590301416</v>
      </c>
      <c r="H221" s="311">
        <f t="shared" si="27"/>
        <v>-0.00867568257208473</v>
      </c>
      <c r="I221" s="311">
        <f t="shared" si="27"/>
        <v>-0.014221364221364219</v>
      </c>
      <c r="J221" s="311">
        <f t="shared" si="27"/>
        <v>-0.012272341536653797</v>
      </c>
      <c r="K221" s="311">
        <f t="shared" si="27"/>
        <v>-0.007137664397594334</v>
      </c>
      <c r="L221" s="311">
        <f t="shared" si="27"/>
        <v>-0.0012647274179591328</v>
      </c>
      <c r="M221" s="311">
        <f t="shared" si="27"/>
        <v>0.0055318581711543136</v>
      </c>
      <c r="N221" s="311">
        <f t="shared" si="27"/>
        <v>0.00543514283820512</v>
      </c>
      <c r="O221" s="311">
        <f t="shared" si="27"/>
        <v>-0.0038895115037247407</v>
      </c>
      <c r="P221" s="311">
        <f t="shared" si="27"/>
        <v>-0.013567174056915987</v>
      </c>
      <c r="Q221" s="311">
        <f t="shared" si="27"/>
        <v>-0.017510902381751126</v>
      </c>
      <c r="R221" s="311">
        <f t="shared" si="27"/>
        <v>-0.02615405626877898</v>
      </c>
      <c r="S221" s="311">
        <f t="shared" si="27"/>
        <v>-0.02440221583339175</v>
      </c>
      <c r="T221" s="311">
        <f t="shared" si="27"/>
        <v>-0.018184431826349434</v>
      </c>
    </row>
    <row r="222" spans="1:20" ht="12.75">
      <c r="A222" s="383" t="s">
        <v>282</v>
      </c>
      <c r="B222" s="293"/>
      <c r="C222" s="294"/>
      <c r="D222" s="311">
        <f aca="true" t="shared" si="28" ref="D222:T222">SUM(D$59:D$63)/SUM(C$59:C$63)-1</f>
        <v>0.02278149772954663</v>
      </c>
      <c r="E222" s="311">
        <f t="shared" si="28"/>
        <v>0.020618556701030855</v>
      </c>
      <c r="F222" s="311">
        <f t="shared" si="28"/>
        <v>0.027280100272800922</v>
      </c>
      <c r="G222" s="311">
        <f t="shared" si="28"/>
        <v>0.025909710758630577</v>
      </c>
      <c r="H222" s="311">
        <f t="shared" si="28"/>
        <v>0.02357632573107593</v>
      </c>
      <c r="I222" s="311">
        <f t="shared" si="28"/>
        <v>0.023101633517873088</v>
      </c>
      <c r="J222" s="311">
        <f t="shared" si="28"/>
        <v>0.021243904068408037</v>
      </c>
      <c r="K222" s="311">
        <f t="shared" si="28"/>
        <v>0.009550598547785727</v>
      </c>
      <c r="L222" s="311">
        <f t="shared" si="28"/>
        <v>-0.0002591848636039895</v>
      </c>
      <c r="M222" s="311">
        <f t="shared" si="28"/>
        <v>-0.008296065850022738</v>
      </c>
      <c r="N222" s="311">
        <f t="shared" si="28"/>
        <v>-0.014116724397098213</v>
      </c>
      <c r="O222" s="311">
        <f t="shared" si="28"/>
        <v>-0.012064965197215782</v>
      </c>
      <c r="P222" s="311">
        <f t="shared" si="28"/>
        <v>-0.0067771589612829475</v>
      </c>
      <c r="Q222" s="311">
        <f t="shared" si="28"/>
        <v>-0.0010809350087825909</v>
      </c>
      <c r="R222" s="311">
        <f t="shared" si="28"/>
        <v>0.005748681184904569</v>
      </c>
      <c r="S222" s="311">
        <f t="shared" si="28"/>
        <v>0.005581332795373539</v>
      </c>
      <c r="T222" s="311">
        <f t="shared" si="28"/>
        <v>-0.0037448174401497614</v>
      </c>
    </row>
    <row r="223" spans="1:20" ht="12.75">
      <c r="A223" s="383" t="s">
        <v>283</v>
      </c>
      <c r="B223" s="293"/>
      <c r="C223" s="294"/>
      <c r="D223" s="311">
        <f aca="true" t="shared" si="29" ref="D223:T223">SUM(D$64:D$68)/SUM(C$64:C$68)-1</f>
        <v>-8.327781479011698E-05</v>
      </c>
      <c r="E223" s="311">
        <f t="shared" si="29"/>
        <v>0.0025818272674273945</v>
      </c>
      <c r="F223" s="311">
        <f t="shared" si="29"/>
        <v>0.010716065791659846</v>
      </c>
      <c r="G223" s="311">
        <f t="shared" si="29"/>
        <v>0.014136598997287697</v>
      </c>
      <c r="H223" s="311">
        <f t="shared" si="29"/>
        <v>0.023421671124078225</v>
      </c>
      <c r="I223" s="311">
        <f t="shared" si="29"/>
        <v>0.024311054798859644</v>
      </c>
      <c r="J223" s="311">
        <f t="shared" si="29"/>
        <v>0.02296095863935066</v>
      </c>
      <c r="K223" s="311">
        <f t="shared" si="29"/>
        <v>0.02773579201934706</v>
      </c>
      <c r="L223" s="311">
        <f t="shared" si="29"/>
        <v>0.02573718655783508</v>
      </c>
      <c r="M223" s="311">
        <f t="shared" si="29"/>
        <v>0.024087748225679162</v>
      </c>
      <c r="N223" s="311">
        <f t="shared" si="29"/>
        <v>0.023521176058802995</v>
      </c>
      <c r="O223" s="311">
        <f t="shared" si="29"/>
        <v>0.02161274878599273</v>
      </c>
      <c r="P223" s="311">
        <f t="shared" si="29"/>
        <v>0.009841333601124713</v>
      </c>
      <c r="Q223" s="311">
        <f t="shared" si="29"/>
        <v>6.629541235736447E-05</v>
      </c>
      <c r="R223" s="311">
        <f t="shared" si="29"/>
        <v>-0.00802121312562143</v>
      </c>
      <c r="S223" s="311">
        <f t="shared" si="29"/>
        <v>-0.013833199679230135</v>
      </c>
      <c r="T223" s="311">
        <f t="shared" si="29"/>
        <v>-0.011858778884597188</v>
      </c>
    </row>
    <row r="224" spans="1:20" ht="12.75">
      <c r="A224" s="383" t="s">
        <v>284</v>
      </c>
      <c r="B224" s="293"/>
      <c r="C224" s="294"/>
      <c r="D224" s="311">
        <f aca="true" t="shared" si="30" ref="D224:T224">SUM(D$69:D$73)/SUM(C$69:C$73)-1</f>
        <v>0.05799782372143625</v>
      </c>
      <c r="E224" s="311">
        <f t="shared" si="30"/>
        <v>0.07065720456649172</v>
      </c>
      <c r="F224" s="311">
        <f t="shared" si="30"/>
        <v>0.04409221902017291</v>
      </c>
      <c r="G224" s="311">
        <f t="shared" si="30"/>
        <v>0.03845799981599041</v>
      </c>
      <c r="H224" s="311">
        <f t="shared" si="30"/>
        <v>0.028262602994595598</v>
      </c>
      <c r="I224" s="311">
        <f t="shared" si="30"/>
        <v>0.00034464931931754705</v>
      </c>
      <c r="J224" s="311">
        <f t="shared" si="30"/>
        <v>0.0037898363479758057</v>
      </c>
      <c r="K224" s="311">
        <f t="shared" si="30"/>
        <v>0.01132658314741719</v>
      </c>
      <c r="L224" s="311">
        <f t="shared" si="30"/>
        <v>0.014339046326149685</v>
      </c>
      <c r="M224" s="311">
        <f t="shared" si="30"/>
        <v>0.02409033877038902</v>
      </c>
      <c r="N224" s="311">
        <f t="shared" si="30"/>
        <v>0.024748836069590885</v>
      </c>
      <c r="O224" s="311">
        <f t="shared" si="30"/>
        <v>0.023593177108241603</v>
      </c>
      <c r="P224" s="311">
        <f t="shared" si="30"/>
        <v>0.02826662513627154</v>
      </c>
      <c r="Q224" s="311">
        <f t="shared" si="30"/>
        <v>0.026202196137826483</v>
      </c>
      <c r="R224" s="311">
        <f t="shared" si="30"/>
        <v>0.02435244631392508</v>
      </c>
      <c r="S224" s="311">
        <f t="shared" si="30"/>
        <v>0.024277789784597603</v>
      </c>
      <c r="T224" s="311">
        <f t="shared" si="30"/>
        <v>0.021944014629343034</v>
      </c>
    </row>
    <row r="225" spans="1:20" ht="12.75">
      <c r="A225" s="383" t="s">
        <v>285</v>
      </c>
      <c r="B225" s="295"/>
      <c r="C225" s="294"/>
      <c r="D225" s="311">
        <f aca="true" t="shared" si="31" ref="D225:T225">SUM(D$74:D$99)/SUM(C$74:C$99)-1</f>
        <v>0.03441799519545752</v>
      </c>
      <c r="E225" s="311">
        <f t="shared" si="31"/>
        <v>0.024785711269687205</v>
      </c>
      <c r="F225" s="311">
        <f t="shared" si="31"/>
        <v>0.03189122373300379</v>
      </c>
      <c r="G225" s="311">
        <f t="shared" si="31"/>
        <v>0.032422935633285466</v>
      </c>
      <c r="H225" s="311">
        <f t="shared" si="31"/>
        <v>0.033570544554455406</v>
      </c>
      <c r="I225" s="311">
        <f t="shared" si="31"/>
        <v>0.04482861847028885</v>
      </c>
      <c r="J225" s="311">
        <f t="shared" si="31"/>
        <v>0.0411503473963184</v>
      </c>
      <c r="K225" s="311">
        <f t="shared" si="31"/>
        <v>0.03790719273502807</v>
      </c>
      <c r="L225" s="311">
        <f t="shared" si="31"/>
        <v>0.03635700792098895</v>
      </c>
      <c r="M225" s="311">
        <f t="shared" si="31"/>
        <v>0.033674448353054</v>
      </c>
      <c r="N225" s="311">
        <f t="shared" si="31"/>
        <v>0.03307242520805609</v>
      </c>
      <c r="O225" s="311">
        <f t="shared" si="31"/>
        <v>0.03159439386679441</v>
      </c>
      <c r="P225" s="311">
        <f t="shared" si="31"/>
        <v>0.031846024327227385</v>
      </c>
      <c r="Q225" s="311">
        <f t="shared" si="31"/>
        <v>0.03145397254107585</v>
      </c>
      <c r="R225" s="311">
        <f t="shared" si="31"/>
        <v>0.03256778135399041</v>
      </c>
      <c r="S225" s="311">
        <f t="shared" si="31"/>
        <v>0.032148140321217156</v>
      </c>
      <c r="T225" s="311">
        <f t="shared" si="31"/>
        <v>0.03045581347733739</v>
      </c>
    </row>
    <row r="226" spans="3:9" ht="12.75">
      <c r="C226" s="292"/>
      <c r="D226" s="292"/>
      <c r="E226" s="292"/>
      <c r="F226" s="292"/>
      <c r="G226" s="292"/>
      <c r="H226" s="292"/>
      <c r="I226" s="292"/>
    </row>
    <row r="227" ht="18.75">
      <c r="A227" s="1" t="s">
        <v>187</v>
      </c>
    </row>
    <row r="229" spans="1:20" s="102" customFormat="1" ht="12.75">
      <c r="A229" s="285" t="s">
        <v>524</v>
      </c>
      <c r="B229" s="38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1:20" s="102" customFormat="1" ht="12.75">
      <c r="A230" s="286" t="s">
        <v>320</v>
      </c>
      <c r="B230" s="287"/>
      <c r="C230" s="287">
        <v>0.5377559829998116</v>
      </c>
      <c r="D230" s="287">
        <v>0.536323054941003</v>
      </c>
      <c r="E230" s="287">
        <v>0.5432690118397085</v>
      </c>
      <c r="F230" s="385">
        <v>0.5361038088909194</v>
      </c>
      <c r="G230" s="385">
        <v>0.516070907161337</v>
      </c>
      <c r="H230" s="385">
        <v>0.5028456978247381</v>
      </c>
      <c r="I230" s="385">
        <v>0.5016691215114262</v>
      </c>
      <c r="J230" s="385">
        <v>0.5070499815842757</v>
      </c>
      <c r="K230" s="287">
        <v>0.5171089657062309</v>
      </c>
      <c r="L230" s="287">
        <v>0.527167949828186</v>
      </c>
      <c r="M230" s="287">
        <v>0.5372269339501412</v>
      </c>
      <c r="N230" s="287">
        <v>0.5372269339501412</v>
      </c>
      <c r="O230" s="287">
        <v>0.5372269339501412</v>
      </c>
      <c r="P230" s="287">
        <v>0.5372269339501412</v>
      </c>
      <c r="Q230" s="287">
        <v>0.5372269339501412</v>
      </c>
      <c r="R230" s="287">
        <v>0.5372269339501412</v>
      </c>
      <c r="S230" s="287">
        <v>0.5372269339501412</v>
      </c>
      <c r="T230" s="287">
        <v>0.5372269339501412</v>
      </c>
    </row>
    <row r="231" spans="1:20" s="102" customFormat="1" ht="12.75">
      <c r="A231" s="286" t="s">
        <v>321</v>
      </c>
      <c r="B231" s="287"/>
      <c r="C231" s="287">
        <v>0.7975896468974973</v>
      </c>
      <c r="D231" s="287">
        <v>0.8091516432403069</v>
      </c>
      <c r="E231" s="287">
        <v>0.782232327614979</v>
      </c>
      <c r="F231" s="385">
        <v>0.7800965844483868</v>
      </c>
      <c r="G231" s="385">
        <v>0.7591617297368811</v>
      </c>
      <c r="H231" s="385">
        <v>0.7434503075619634</v>
      </c>
      <c r="I231" s="385">
        <v>0.7391848658760469</v>
      </c>
      <c r="J231" s="385">
        <v>0.7420346006437831</v>
      </c>
      <c r="K231" s="287">
        <v>0.7543856831554412</v>
      </c>
      <c r="L231" s="287">
        <v>0.7667367656670993</v>
      </c>
      <c r="M231" s="287">
        <v>0.7790878481787573</v>
      </c>
      <c r="N231" s="287">
        <v>0.7798336429820015</v>
      </c>
      <c r="O231" s="287">
        <v>0.7800631183060767</v>
      </c>
      <c r="P231" s="287">
        <v>0.7802925936301518</v>
      </c>
      <c r="Q231" s="287">
        <v>0.7805220689542269</v>
      </c>
      <c r="R231" s="287">
        <v>0.7807515442783022</v>
      </c>
      <c r="S231" s="287">
        <v>0.7809810196023773</v>
      </c>
      <c r="T231" s="287">
        <v>0.7809810196023773</v>
      </c>
    </row>
    <row r="232" spans="1:20" s="102" customFormat="1" ht="12.75">
      <c r="A232" s="286" t="s">
        <v>322</v>
      </c>
      <c r="B232" s="287"/>
      <c r="C232" s="287">
        <v>0.8927001498659094</v>
      </c>
      <c r="D232" s="287">
        <v>0.9024702403846152</v>
      </c>
      <c r="E232" s="287">
        <v>0.9094634728751586</v>
      </c>
      <c r="F232" s="385">
        <v>0.8938064559786802</v>
      </c>
      <c r="G232" s="385">
        <v>0.8770136758287804</v>
      </c>
      <c r="H232" s="385">
        <v>0.8653418077884337</v>
      </c>
      <c r="I232" s="385">
        <v>0.8638939966294089</v>
      </c>
      <c r="J232" s="385">
        <v>0.8684428049577246</v>
      </c>
      <c r="K232" s="287">
        <v>0.8731501379584432</v>
      </c>
      <c r="L232" s="287">
        <v>0.8778574709591618</v>
      </c>
      <c r="M232" s="287">
        <v>0.8825648039598804</v>
      </c>
      <c r="N232" s="287">
        <v>0.8826570396412988</v>
      </c>
      <c r="O232" s="287">
        <v>0.882956805605909</v>
      </c>
      <c r="P232" s="287">
        <v>0.8832565715705191</v>
      </c>
      <c r="Q232" s="287">
        <v>0.8835563375351293</v>
      </c>
      <c r="R232" s="287">
        <v>0.8838561034997394</v>
      </c>
      <c r="S232" s="287">
        <v>0.8841558694643495</v>
      </c>
      <c r="T232" s="287">
        <v>0.884248105145768</v>
      </c>
    </row>
    <row r="233" spans="1:20" s="102" customFormat="1" ht="12.75">
      <c r="A233" s="286" t="s">
        <v>323</v>
      </c>
      <c r="B233" s="287"/>
      <c r="C233" s="287">
        <v>0.9107891358568075</v>
      </c>
      <c r="D233" s="287">
        <v>0.9085490835721827</v>
      </c>
      <c r="E233" s="287">
        <v>0.908589145193643</v>
      </c>
      <c r="F233" s="385">
        <v>0.9077831185235098</v>
      </c>
      <c r="G233" s="385">
        <v>0.8930176911723225</v>
      </c>
      <c r="H233" s="385">
        <v>0.8828700848304423</v>
      </c>
      <c r="I233" s="385">
        <v>0.8819382275488442</v>
      </c>
      <c r="J233" s="385">
        <v>0.8865481313697758</v>
      </c>
      <c r="K233" s="287">
        <v>0.8903280080602813</v>
      </c>
      <c r="L233" s="287">
        <v>0.8941078847507868</v>
      </c>
      <c r="M233" s="287">
        <v>0.8978877614412923</v>
      </c>
      <c r="N233" s="287">
        <v>0.8983374424573495</v>
      </c>
      <c r="O233" s="287">
        <v>0.8983920872390476</v>
      </c>
      <c r="P233" s="287">
        <v>0.8984467320207457</v>
      </c>
      <c r="Q233" s="287">
        <v>0.8985013768024437</v>
      </c>
      <c r="R233" s="287">
        <v>0.8985560215841418</v>
      </c>
      <c r="S233" s="287">
        <v>0.89861066636584</v>
      </c>
      <c r="T233" s="287">
        <v>0.8987882619063587</v>
      </c>
    </row>
    <row r="234" spans="1:20" s="102" customFormat="1" ht="12.75">
      <c r="A234" s="286" t="s">
        <v>324</v>
      </c>
      <c r="B234" s="287"/>
      <c r="C234" s="287">
        <v>0.9073898685798578</v>
      </c>
      <c r="D234" s="287">
        <v>0.9022066794529686</v>
      </c>
      <c r="E234" s="287">
        <v>0.9067470588235295</v>
      </c>
      <c r="F234" s="385">
        <v>0.9062075258207405</v>
      </c>
      <c r="G234" s="385">
        <v>0.8889620616115711</v>
      </c>
      <c r="H234" s="385">
        <v>0.8780812041445307</v>
      </c>
      <c r="I234" s="385">
        <v>0.8776256779330771</v>
      </c>
      <c r="J234" s="385">
        <v>0.8826015177295681</v>
      </c>
      <c r="K234" s="287">
        <v>0.8911315213347519</v>
      </c>
      <c r="L234" s="287">
        <v>0.8996615249399358</v>
      </c>
      <c r="M234" s="287">
        <v>0.9081915285451196</v>
      </c>
      <c r="N234" s="287">
        <v>0.9111269207756748</v>
      </c>
      <c r="O234" s="287">
        <v>0.9114424255188229</v>
      </c>
      <c r="P234" s="287">
        <v>0.911757930261971</v>
      </c>
      <c r="Q234" s="287">
        <v>0.9120734350051192</v>
      </c>
      <c r="R234" s="287">
        <v>0.9123889397482672</v>
      </c>
      <c r="S234" s="287">
        <v>0.9127044444914153</v>
      </c>
      <c r="T234" s="287">
        <v>0.9127427843083041</v>
      </c>
    </row>
    <row r="235" spans="1:20" s="102" customFormat="1" ht="12.75">
      <c r="A235" s="286" t="s">
        <v>325</v>
      </c>
      <c r="B235" s="287"/>
      <c r="C235" s="287">
        <v>0.9195491343379288</v>
      </c>
      <c r="D235" s="287">
        <v>0.9162264150943394</v>
      </c>
      <c r="E235" s="287">
        <v>0.9087462013609038</v>
      </c>
      <c r="F235" s="385">
        <v>0.9110787287073814</v>
      </c>
      <c r="G235" s="385">
        <v>0.8935613209436253</v>
      </c>
      <c r="H235" s="385">
        <v>0.8817370527327134</v>
      </c>
      <c r="I235" s="385">
        <v>0.8807872735975756</v>
      </c>
      <c r="J235" s="385">
        <v>0.886414367961694</v>
      </c>
      <c r="K235" s="287">
        <v>0.8931680948742126</v>
      </c>
      <c r="L235" s="287">
        <v>0.8999218217867311</v>
      </c>
      <c r="M235" s="287">
        <v>0.9066755486992496</v>
      </c>
      <c r="N235" s="287">
        <v>0.9084309708651725</v>
      </c>
      <c r="O235" s="287">
        <v>0.9107870527026528</v>
      </c>
      <c r="P235" s="287">
        <v>0.913143134540133</v>
      </c>
      <c r="Q235" s="287">
        <v>0.9154992163776132</v>
      </c>
      <c r="R235" s="287">
        <v>0.9178552982150933</v>
      </c>
      <c r="S235" s="287">
        <v>0.9202113800525735</v>
      </c>
      <c r="T235" s="287">
        <v>0.9204646187806835</v>
      </c>
    </row>
    <row r="236" spans="1:20" s="102" customFormat="1" ht="12.75">
      <c r="A236" s="286" t="s">
        <v>326</v>
      </c>
      <c r="B236" s="287"/>
      <c r="C236" s="287">
        <v>0.9052594387070814</v>
      </c>
      <c r="D236" s="287">
        <v>0.9056251229992127</v>
      </c>
      <c r="E236" s="287">
        <v>0.9008958132045087</v>
      </c>
      <c r="F236" s="385">
        <v>0.901136851049926</v>
      </c>
      <c r="G236" s="385">
        <v>0.881814489797446</v>
      </c>
      <c r="H236" s="385">
        <v>0.8688493263388205</v>
      </c>
      <c r="I236" s="385">
        <v>0.8674222031515966</v>
      </c>
      <c r="J236" s="385">
        <v>0.8722648060939608</v>
      </c>
      <c r="K236" s="287">
        <v>0.8824144687347789</v>
      </c>
      <c r="L236" s="287">
        <v>0.892564131375597</v>
      </c>
      <c r="M236" s="287">
        <v>0.902713794016415</v>
      </c>
      <c r="N236" s="287">
        <v>0.9049943341276145</v>
      </c>
      <c r="O236" s="287">
        <v>0.9063930653958169</v>
      </c>
      <c r="P236" s="287">
        <v>0.9077917966640191</v>
      </c>
      <c r="Q236" s="287">
        <v>0.9091905279322214</v>
      </c>
      <c r="R236" s="287">
        <v>0.9105892592004236</v>
      </c>
      <c r="S236" s="287">
        <v>0.9119879904686258</v>
      </c>
      <c r="T236" s="287">
        <v>0.9138653310881651</v>
      </c>
    </row>
    <row r="237" spans="1:20" s="102" customFormat="1" ht="12.75">
      <c r="A237" s="286" t="s">
        <v>327</v>
      </c>
      <c r="B237" s="287"/>
      <c r="C237" s="287">
        <v>0.8967010120834296</v>
      </c>
      <c r="D237" s="287">
        <v>0.8891775152381668</v>
      </c>
      <c r="E237" s="287">
        <v>0.8865908169284081</v>
      </c>
      <c r="F237" s="385">
        <v>0.8930811239172272</v>
      </c>
      <c r="G237" s="385">
        <v>0.8771258696175368</v>
      </c>
      <c r="H237" s="385">
        <v>0.866072216080926</v>
      </c>
      <c r="I237" s="385">
        <v>0.8653312236933948</v>
      </c>
      <c r="J237" s="385">
        <v>0.8709641305560092</v>
      </c>
      <c r="K237" s="287">
        <v>0.8784219829659264</v>
      </c>
      <c r="L237" s="287">
        <v>0.8858798353758437</v>
      </c>
      <c r="M237" s="287">
        <v>0.893337687785761</v>
      </c>
      <c r="N237" s="287">
        <v>0.8951748714330021</v>
      </c>
      <c r="O237" s="287">
        <v>0.8974594521342348</v>
      </c>
      <c r="P237" s="287">
        <v>0.8997440328354676</v>
      </c>
      <c r="Q237" s="287">
        <v>0.9020286135367004</v>
      </c>
      <c r="R237" s="287">
        <v>0.9043131942379331</v>
      </c>
      <c r="S237" s="287">
        <v>0.9065977749391657</v>
      </c>
      <c r="T237" s="287">
        <v>0.9079989844359218</v>
      </c>
    </row>
    <row r="238" spans="1:20" s="102" customFormat="1" ht="12.75">
      <c r="A238" s="286" t="s">
        <v>328</v>
      </c>
      <c r="B238" s="287"/>
      <c r="C238" s="287">
        <v>0.846800258161226</v>
      </c>
      <c r="D238" s="287">
        <v>0.8652697384858833</v>
      </c>
      <c r="E238" s="287">
        <v>0.8659110732679846</v>
      </c>
      <c r="F238" s="385">
        <v>0.8652068192053857</v>
      </c>
      <c r="G238" s="385">
        <v>0.856217591394835</v>
      </c>
      <c r="H238" s="385">
        <v>0.8514732871654924</v>
      </c>
      <c r="I238" s="385">
        <v>0.8555980571939504</v>
      </c>
      <c r="J238" s="385">
        <v>0.8652234940561255</v>
      </c>
      <c r="K238" s="287">
        <v>0.8640974988918968</v>
      </c>
      <c r="L238" s="287">
        <v>0.8629715037276681</v>
      </c>
      <c r="M238" s="287">
        <v>0.8618455085634393</v>
      </c>
      <c r="N238" s="287">
        <v>0.8619182694011924</v>
      </c>
      <c r="O238" s="287">
        <v>0.8637055401612722</v>
      </c>
      <c r="P238" s="287">
        <v>0.865492810921352</v>
      </c>
      <c r="Q238" s="287">
        <v>0.8672800816814319</v>
      </c>
      <c r="R238" s="287">
        <v>0.8690673524415116</v>
      </c>
      <c r="S238" s="287">
        <v>0.8708546232015913</v>
      </c>
      <c r="T238" s="287">
        <v>0.8730771360638669</v>
      </c>
    </row>
    <row r="239" spans="1:20" s="102" customFormat="1" ht="12.75">
      <c r="A239" s="286" t="s">
        <v>329</v>
      </c>
      <c r="B239" s="287"/>
      <c r="C239" s="287">
        <v>0.709411860718172</v>
      </c>
      <c r="D239" s="287">
        <v>0.720444307312558</v>
      </c>
      <c r="E239" s="287">
        <v>0.7149936359269932</v>
      </c>
      <c r="F239" s="385">
        <v>0.7638599599326217</v>
      </c>
      <c r="G239" s="385">
        <v>0.7720119754210024</v>
      </c>
      <c r="H239" s="385">
        <v>0.7839250686574861</v>
      </c>
      <c r="I239" s="385">
        <v>0.8045895104001028</v>
      </c>
      <c r="J239" s="385">
        <v>0.8300327424150953</v>
      </c>
      <c r="K239" s="287">
        <v>0.8118108440461701</v>
      </c>
      <c r="L239" s="287">
        <v>0.7935889456772449</v>
      </c>
      <c r="M239" s="287">
        <v>0.7753670473083197</v>
      </c>
      <c r="N239" s="287">
        <v>0.777458825354879</v>
      </c>
      <c r="O239" s="287">
        <v>0.7775244840656576</v>
      </c>
      <c r="P239" s="287">
        <v>0.777590142776436</v>
      </c>
      <c r="Q239" s="287">
        <v>0.7776558014872147</v>
      </c>
      <c r="R239" s="287">
        <v>0.7777214601979933</v>
      </c>
      <c r="S239" s="287">
        <v>0.7777871189087718</v>
      </c>
      <c r="T239" s="287">
        <v>0.7793999356044408</v>
      </c>
    </row>
    <row r="240" spans="1:20" s="102" customFormat="1" ht="12.75">
      <c r="A240" s="286" t="s">
        <v>188</v>
      </c>
      <c r="B240" s="287"/>
      <c r="C240" s="287">
        <v>0.15475608757370604</v>
      </c>
      <c r="D240" s="287">
        <v>0.1805923024954609</v>
      </c>
      <c r="E240" s="287">
        <v>0.18525419756901523</v>
      </c>
      <c r="F240" s="385">
        <v>0.18677768390974028</v>
      </c>
      <c r="G240" s="385">
        <v>0.16374068413502907</v>
      </c>
      <c r="H240" s="385">
        <v>0.14907121046178878</v>
      </c>
      <c r="I240" s="385">
        <v>0.1523863150429777</v>
      </c>
      <c r="J240" s="385">
        <v>0.16777780050154922</v>
      </c>
      <c r="K240" s="287">
        <v>0.1905573485742753</v>
      </c>
      <c r="L240" s="287">
        <v>0.2133368966470014</v>
      </c>
      <c r="M240" s="287">
        <v>0.23611644471972748</v>
      </c>
      <c r="N240" s="287">
        <v>0.24057900198778626</v>
      </c>
      <c r="O240" s="287">
        <v>0.24123511400524172</v>
      </c>
      <c r="P240" s="287">
        <v>0.24189122602269722</v>
      </c>
      <c r="Q240" s="287">
        <v>0.24254733804015272</v>
      </c>
      <c r="R240" s="287">
        <v>0.2432034500576082</v>
      </c>
      <c r="S240" s="287">
        <v>0.24385956207506368</v>
      </c>
      <c r="T240" s="287">
        <v>0.24388015674057487</v>
      </c>
    </row>
    <row r="241" spans="1:20" s="102" customFormat="1" ht="12.75">
      <c r="A241" s="285" t="s">
        <v>190</v>
      </c>
      <c r="B241" s="25"/>
      <c r="C241" s="288">
        <f aca="true" t="shared" si="32" ref="C241:T241">(C$230*SUM(C$24:C$28)+C$231*SUM(C$29:C$33)+C$232*SUM(C$34:C$38)+C$233*SUM(C$39:C$43)+C$234*SUM(C$44:C$48)+C$235*SUM(C$49:C$53)+C$236*SUM(C$54:C$58)+C$237*SUM(C$59:C$63)+C$238*SUM(C$64:C$68)+C$239*SUM(C$69:C$73)+C$240*SUM(C$74:C$99))/SUM(C$24:C$99)</f>
        <v>0.7354763152444725</v>
      </c>
      <c r="D241" s="288">
        <f t="shared" si="32"/>
        <v>0.7385374784139934</v>
      </c>
      <c r="E241" s="288">
        <f t="shared" si="32"/>
        <v>0.7348742834531142</v>
      </c>
      <c r="F241" s="386">
        <f t="shared" si="32"/>
        <v>0.7346087038075383</v>
      </c>
      <c r="G241" s="386">
        <f t="shared" si="32"/>
        <v>0.7164424739991158</v>
      </c>
      <c r="H241" s="386">
        <f t="shared" si="32"/>
        <v>0.7041352406335769</v>
      </c>
      <c r="I241" s="386">
        <f t="shared" si="32"/>
        <v>0.7023718881273909</v>
      </c>
      <c r="J241" s="386">
        <f t="shared" si="32"/>
        <v>0.7079656773284658</v>
      </c>
      <c r="K241" s="288">
        <f t="shared" si="32"/>
        <v>0.7136038868292984</v>
      </c>
      <c r="L241" s="288">
        <f t="shared" si="32"/>
        <v>0.7193026889772369</v>
      </c>
      <c r="M241" s="288">
        <f t="shared" si="32"/>
        <v>0.7252802221093458</v>
      </c>
      <c r="N241" s="288">
        <f t="shared" si="32"/>
        <v>0.7247782723805396</v>
      </c>
      <c r="O241" s="288">
        <f t="shared" si="32"/>
        <v>0.7233711072867637</v>
      </c>
      <c r="P241" s="288">
        <f t="shared" si="32"/>
        <v>0.7216571491114042</v>
      </c>
      <c r="Q241" s="288">
        <f t="shared" si="32"/>
        <v>0.7200487877084025</v>
      </c>
      <c r="R241" s="288">
        <f t="shared" si="32"/>
        <v>0.718056805803201</v>
      </c>
      <c r="S241" s="288">
        <f t="shared" si="32"/>
        <v>0.7156679731675097</v>
      </c>
      <c r="T241" s="288">
        <f t="shared" si="32"/>
        <v>0.7131282925408436</v>
      </c>
    </row>
    <row r="242" spans="1:20" s="102" customFormat="1" ht="12.75">
      <c r="A242" s="289"/>
      <c r="B242" s="25"/>
      <c r="C242" s="290"/>
      <c r="D242" s="290"/>
      <c r="E242" s="290"/>
      <c r="F242" s="290"/>
      <c r="G242" s="290"/>
      <c r="H242" s="290"/>
      <c r="I242" s="290"/>
      <c r="J242" s="290"/>
      <c r="K242" s="290"/>
      <c r="L242" s="290"/>
      <c r="M242" s="290"/>
      <c r="N242" s="290"/>
      <c r="O242" s="290"/>
      <c r="P242" s="290"/>
      <c r="Q242" s="290"/>
      <c r="R242" s="290"/>
      <c r="S242" s="290"/>
      <c r="T242" s="290"/>
    </row>
    <row r="243" spans="1:20" s="102" customFormat="1" ht="12.75">
      <c r="A243" s="285" t="s">
        <v>319</v>
      </c>
      <c r="B243" s="25"/>
      <c r="C243" s="287"/>
      <c r="D243" s="287"/>
      <c r="E243" s="287"/>
      <c r="F243" s="287"/>
      <c r="G243" s="287"/>
      <c r="H243" s="287"/>
      <c r="I243" s="287"/>
      <c r="J243" s="287"/>
      <c r="K243" s="287"/>
      <c r="L243" s="287"/>
      <c r="M243" s="287"/>
      <c r="N243" s="287"/>
      <c r="O243" s="287"/>
      <c r="P243" s="287"/>
      <c r="Q243" s="287"/>
      <c r="R243" s="287"/>
      <c r="S243" s="287"/>
      <c r="T243" s="287"/>
    </row>
    <row r="244" spans="1:20" s="102" customFormat="1" ht="12.75">
      <c r="A244" s="286" t="s">
        <v>320</v>
      </c>
      <c r="B244" s="287"/>
      <c r="C244" s="287">
        <v>0.5405171505027571</v>
      </c>
      <c r="D244" s="287">
        <v>0.5519044581924867</v>
      </c>
      <c r="E244" s="287">
        <v>0.5429272522807905</v>
      </c>
      <c r="F244" s="385">
        <v>0.5387179420722151</v>
      </c>
      <c r="G244" s="385">
        <v>0.5210754421407757</v>
      </c>
      <c r="H244" s="385">
        <v>0.5100002464022733</v>
      </c>
      <c r="I244" s="385">
        <v>0.5102089177165002</v>
      </c>
      <c r="J244" s="385">
        <v>0.5167118270284727</v>
      </c>
      <c r="K244" s="287">
        <v>0.5265943360091119</v>
      </c>
      <c r="L244" s="287">
        <v>0.536476844989751</v>
      </c>
      <c r="M244" s="287">
        <v>0.5463593539703901</v>
      </c>
      <c r="N244" s="287">
        <v>0.5463593539703901</v>
      </c>
      <c r="O244" s="287">
        <v>0.5463593539703901</v>
      </c>
      <c r="P244" s="287">
        <v>0.5463593539703901</v>
      </c>
      <c r="Q244" s="287">
        <v>0.5463593539703901</v>
      </c>
      <c r="R244" s="287">
        <v>0.5463593539703901</v>
      </c>
      <c r="S244" s="287">
        <v>0.5463593539703901</v>
      </c>
      <c r="T244" s="287">
        <v>0.5463593539703901</v>
      </c>
    </row>
    <row r="245" spans="1:20" s="102" customFormat="1" ht="12.75">
      <c r="A245" s="286" t="s">
        <v>321</v>
      </c>
      <c r="B245" s="287"/>
      <c r="C245" s="287">
        <v>0.6696443928448572</v>
      </c>
      <c r="D245" s="287">
        <v>0.6759910365393843</v>
      </c>
      <c r="E245" s="287">
        <v>0.6609679561397535</v>
      </c>
      <c r="F245" s="385">
        <v>0.6517758001338311</v>
      </c>
      <c r="G245" s="385">
        <v>0.62988216775027</v>
      </c>
      <c r="H245" s="385">
        <v>0.6133044337954302</v>
      </c>
      <c r="I245" s="385">
        <v>0.6076343395342616</v>
      </c>
      <c r="J245" s="385">
        <v>0.6086953243160069</v>
      </c>
      <c r="K245" s="287">
        <v>0.6338480038753315</v>
      </c>
      <c r="L245" s="287">
        <v>0.659000683434656</v>
      </c>
      <c r="M245" s="287">
        <v>0.6841533629939806</v>
      </c>
      <c r="N245" s="287">
        <v>0.6822217057756526</v>
      </c>
      <c r="O245" s="287">
        <v>0.6828655915150953</v>
      </c>
      <c r="P245" s="287">
        <v>0.6835094772545379</v>
      </c>
      <c r="Q245" s="287">
        <v>0.6841533629939807</v>
      </c>
      <c r="R245" s="287">
        <v>0.6847972487334234</v>
      </c>
      <c r="S245" s="287">
        <v>0.6854411344728661</v>
      </c>
      <c r="T245" s="287">
        <v>0.6854411344728661</v>
      </c>
    </row>
    <row r="246" spans="1:20" s="102" customFormat="1" ht="12.75">
      <c r="A246" s="286" t="s">
        <v>322</v>
      </c>
      <c r="B246" s="287"/>
      <c r="C246" s="287">
        <v>0.6974995321856288</v>
      </c>
      <c r="D246" s="287">
        <v>0.7148035753696755</v>
      </c>
      <c r="E246" s="287">
        <v>0.7225330083465248</v>
      </c>
      <c r="F246" s="385">
        <v>0.721076469673424</v>
      </c>
      <c r="G246" s="385">
        <v>0.7075671835875577</v>
      </c>
      <c r="H246" s="385">
        <v>0.6993704014303497</v>
      </c>
      <c r="I246" s="385">
        <v>0.7018150469840324</v>
      </c>
      <c r="J246" s="385">
        <v>0.7102947527138694</v>
      </c>
      <c r="K246" s="287">
        <v>0.7142870882700749</v>
      </c>
      <c r="L246" s="287">
        <v>0.7182794238262804</v>
      </c>
      <c r="M246" s="287">
        <v>0.7222717593824859</v>
      </c>
      <c r="N246" s="287">
        <v>0.7233847184021976</v>
      </c>
      <c r="O246" s="287">
        <v>0.721877586396338</v>
      </c>
      <c r="P246" s="287">
        <v>0.7203704543904784</v>
      </c>
      <c r="Q246" s="287">
        <v>0.7188633223846188</v>
      </c>
      <c r="R246" s="287">
        <v>0.7173561903787592</v>
      </c>
      <c r="S246" s="287">
        <v>0.7158490583728996</v>
      </c>
      <c r="T246" s="287">
        <v>0.716351435708186</v>
      </c>
    </row>
    <row r="247" spans="1:20" s="102" customFormat="1" ht="12.75">
      <c r="A247" s="286" t="s">
        <v>323</v>
      </c>
      <c r="B247" s="287"/>
      <c r="C247" s="287">
        <v>0.7042930389471574</v>
      </c>
      <c r="D247" s="287">
        <v>0.7221768087010394</v>
      </c>
      <c r="E247" s="287">
        <v>0.7035092278319898</v>
      </c>
      <c r="F247" s="385">
        <v>0.7129598772931507</v>
      </c>
      <c r="G247" s="385">
        <v>0.7021093043984667</v>
      </c>
      <c r="H247" s="385">
        <v>0.696377357495872</v>
      </c>
      <c r="I247" s="385">
        <v>0.7007404327651421</v>
      </c>
      <c r="J247" s="385">
        <v>0.7110604928436867</v>
      </c>
      <c r="K247" s="287">
        <v>0.7134599518651297</v>
      </c>
      <c r="L247" s="287">
        <v>0.7158594108865727</v>
      </c>
      <c r="M247" s="287">
        <v>0.7182588699080157</v>
      </c>
      <c r="N247" s="287">
        <v>0.7195798732449263</v>
      </c>
      <c r="O247" s="287">
        <v>0.7204253153805491</v>
      </c>
      <c r="P247" s="287">
        <v>0.7212707575161719</v>
      </c>
      <c r="Q247" s="287">
        <v>0.7221161996517947</v>
      </c>
      <c r="R247" s="287">
        <v>0.7229616417874175</v>
      </c>
      <c r="S247" s="287">
        <v>0.7238070839230403</v>
      </c>
      <c r="T247" s="287">
        <v>0.7226622143643844</v>
      </c>
    </row>
    <row r="248" spans="1:20" s="102" customFormat="1" ht="12.75">
      <c r="A248" s="286" t="s">
        <v>324</v>
      </c>
      <c r="B248" s="287"/>
      <c r="C248" s="287">
        <v>0.7042270682902949</v>
      </c>
      <c r="D248" s="287">
        <v>0.7048484963547995</v>
      </c>
      <c r="E248" s="287">
        <v>0.7048753282843706</v>
      </c>
      <c r="F248" s="385">
        <v>0.7118581186555991</v>
      </c>
      <c r="G248" s="385">
        <v>0.6929107564120092</v>
      </c>
      <c r="H248" s="385">
        <v>0.6811086046491395</v>
      </c>
      <c r="I248" s="385">
        <v>0.6807768987069478</v>
      </c>
      <c r="J248" s="385">
        <v>0.686385562411182</v>
      </c>
      <c r="K248" s="287">
        <v>0.6952935511587149</v>
      </c>
      <c r="L248" s="287">
        <v>0.7042015399062479</v>
      </c>
      <c r="M248" s="287">
        <v>0.7131095286537809</v>
      </c>
      <c r="N248" s="287">
        <v>0.7193766913138919</v>
      </c>
      <c r="O248" s="287">
        <v>0.7203975865888421</v>
      </c>
      <c r="P248" s="287">
        <v>0.7214184818637923</v>
      </c>
      <c r="Q248" s="287">
        <v>0.7224393771387426</v>
      </c>
      <c r="R248" s="287">
        <v>0.7234602724136927</v>
      </c>
      <c r="S248" s="287">
        <v>0.7244811676886429</v>
      </c>
      <c r="T248" s="287">
        <v>0.725134540664611</v>
      </c>
    </row>
    <row r="249" spans="1:20" s="102" customFormat="1" ht="12.75">
      <c r="A249" s="286" t="s">
        <v>325</v>
      </c>
      <c r="B249" s="287"/>
      <c r="C249" s="287">
        <v>0.798036169989192</v>
      </c>
      <c r="D249" s="287">
        <v>0.7752141600436813</v>
      </c>
      <c r="E249" s="287">
        <v>0.7794087194297652</v>
      </c>
      <c r="F249" s="385">
        <v>0.786497693864731</v>
      </c>
      <c r="G249" s="385">
        <v>0.7685069693102637</v>
      </c>
      <c r="H249" s="385">
        <v>0.7564973660411174</v>
      </c>
      <c r="I249" s="385">
        <v>0.7564121436340299</v>
      </c>
      <c r="J249" s="385">
        <v>0.7635857186450409</v>
      </c>
      <c r="K249" s="287">
        <v>0.7694446340920253</v>
      </c>
      <c r="L249" s="287">
        <v>0.7753035495390098</v>
      </c>
      <c r="M249" s="287">
        <v>0.7811624649859943</v>
      </c>
      <c r="N249" s="287">
        <v>0.7876712489887182</v>
      </c>
      <c r="O249" s="287">
        <v>0.7923778052737146</v>
      </c>
      <c r="P249" s="287">
        <v>0.797084361558711</v>
      </c>
      <c r="Q249" s="287">
        <v>0.8017909178437072</v>
      </c>
      <c r="R249" s="287">
        <v>0.8064974741287035</v>
      </c>
      <c r="S249" s="287">
        <v>0.8112040304136999</v>
      </c>
      <c r="T249" s="287">
        <v>0.8119707092655546</v>
      </c>
    </row>
    <row r="250" spans="1:20" s="102" customFormat="1" ht="12.75">
      <c r="A250" s="286" t="s">
        <v>326</v>
      </c>
      <c r="B250" s="287"/>
      <c r="C250" s="287">
        <v>0.7923441605254727</v>
      </c>
      <c r="D250" s="287">
        <v>0.7899434861128409</v>
      </c>
      <c r="E250" s="287">
        <v>0.7931707771091661</v>
      </c>
      <c r="F250" s="385">
        <v>0.7986449669605309</v>
      </c>
      <c r="G250" s="385">
        <v>0.7794484171605782</v>
      </c>
      <c r="H250" s="385">
        <v>0.7670101222998098</v>
      </c>
      <c r="I250" s="385">
        <v>0.7667732741474903</v>
      </c>
      <c r="J250" s="385">
        <v>0.7733027969634161</v>
      </c>
      <c r="K250" s="287">
        <v>0.7831200548993706</v>
      </c>
      <c r="L250" s="287">
        <v>0.7929373128353252</v>
      </c>
      <c r="M250" s="287">
        <v>0.8027545707712798</v>
      </c>
      <c r="N250" s="287">
        <v>0.8036924145421466</v>
      </c>
      <c r="O250" s="287">
        <v>0.8098071559281991</v>
      </c>
      <c r="P250" s="287">
        <v>0.8159218973142516</v>
      </c>
      <c r="Q250" s="287">
        <v>0.8220366387003041</v>
      </c>
      <c r="R250" s="287">
        <v>0.8281513800863567</v>
      </c>
      <c r="S250" s="287">
        <v>0.8342661214724092</v>
      </c>
      <c r="T250" s="287">
        <v>0.8386877422374567</v>
      </c>
    </row>
    <row r="251" spans="1:20" s="102" customFormat="1" ht="12.75">
      <c r="A251" s="286" t="s">
        <v>327</v>
      </c>
      <c r="B251" s="287"/>
      <c r="C251" s="287">
        <v>0.7871046137740222</v>
      </c>
      <c r="D251" s="287">
        <v>0.7721504739336493</v>
      </c>
      <c r="E251" s="287">
        <v>0.7821120383522726</v>
      </c>
      <c r="F251" s="385">
        <v>0.7974951386621372</v>
      </c>
      <c r="G251" s="385">
        <v>0.786508350658031</v>
      </c>
      <c r="H251" s="385">
        <v>0.7804282200282106</v>
      </c>
      <c r="I251" s="385">
        <v>0.785075433555922</v>
      </c>
      <c r="J251" s="385">
        <v>0.7965006628293393</v>
      </c>
      <c r="K251" s="287">
        <v>0.7943166561195351</v>
      </c>
      <c r="L251" s="287">
        <v>0.7921326494097308</v>
      </c>
      <c r="M251" s="287">
        <v>0.7899486426999266</v>
      </c>
      <c r="N251" s="287">
        <v>0.7878642422081822</v>
      </c>
      <c r="O251" s="287">
        <v>0.7887890114404349</v>
      </c>
      <c r="P251" s="287">
        <v>0.7897137806726876</v>
      </c>
      <c r="Q251" s="287">
        <v>0.7906385499049405</v>
      </c>
      <c r="R251" s="287">
        <v>0.7915633191371934</v>
      </c>
      <c r="S251" s="287">
        <v>0.7924880883694463</v>
      </c>
      <c r="T251" s="287">
        <v>0.7985175837637346</v>
      </c>
    </row>
    <row r="252" spans="1:20" s="102" customFormat="1" ht="12.75">
      <c r="A252" s="286" t="s">
        <v>328</v>
      </c>
      <c r="B252" s="287"/>
      <c r="C252" s="287">
        <v>0.7037289514357764</v>
      </c>
      <c r="D252" s="287">
        <v>0.7043865317402261</v>
      </c>
      <c r="E252" s="287">
        <v>0.7229349850214557</v>
      </c>
      <c r="F252" s="385">
        <v>0.7436929924560574</v>
      </c>
      <c r="G252" s="385">
        <v>0.7454930735011064</v>
      </c>
      <c r="H252" s="385">
        <v>0.7516451473356118</v>
      </c>
      <c r="I252" s="385">
        <v>0.7669618496144954</v>
      </c>
      <c r="J252" s="385">
        <v>0.7879566695745177</v>
      </c>
      <c r="K252" s="287">
        <v>0.7763809273732859</v>
      </c>
      <c r="L252" s="287">
        <v>0.7648051851720541</v>
      </c>
      <c r="M252" s="287">
        <v>0.7532294429708223</v>
      </c>
      <c r="N252" s="287">
        <v>0.7556326878731737</v>
      </c>
      <c r="O252" s="287">
        <v>0.753659659831286</v>
      </c>
      <c r="P252" s="287">
        <v>0.7516866317893983</v>
      </c>
      <c r="Q252" s="287">
        <v>0.7497136037475107</v>
      </c>
      <c r="R252" s="287">
        <v>0.7477405757056229</v>
      </c>
      <c r="S252" s="287">
        <v>0.7457675476637352</v>
      </c>
      <c r="T252" s="287">
        <v>0.7466429051752769</v>
      </c>
    </row>
    <row r="253" spans="1:20" s="102" customFormat="1" ht="12.75">
      <c r="A253" s="286" t="s">
        <v>329</v>
      </c>
      <c r="B253" s="287"/>
      <c r="C253" s="287">
        <v>0.4992374670184696</v>
      </c>
      <c r="D253" s="287">
        <v>0.4925845049356864</v>
      </c>
      <c r="E253" s="287">
        <v>0.5058935878359528</v>
      </c>
      <c r="F253" s="385">
        <v>0.5446973280008955</v>
      </c>
      <c r="G253" s="385">
        <v>0.5526075517895448</v>
      </c>
      <c r="H253" s="385">
        <v>0.5643860398166833</v>
      </c>
      <c r="I253" s="385">
        <v>0.5852809344343997</v>
      </c>
      <c r="J253" s="385">
        <v>0.6111173702794109</v>
      </c>
      <c r="K253" s="287">
        <v>0.59689901841236</v>
      </c>
      <c r="L253" s="287">
        <v>0.5826806665453091</v>
      </c>
      <c r="M253" s="287">
        <v>0.5684623146782583</v>
      </c>
      <c r="N253" s="287">
        <v>0.5754709070929427</v>
      </c>
      <c r="O253" s="287">
        <v>0.5773307334847241</v>
      </c>
      <c r="P253" s="287">
        <v>0.5791905598765054</v>
      </c>
      <c r="Q253" s="287">
        <v>0.5810503862682868</v>
      </c>
      <c r="R253" s="287">
        <v>0.582910212660068</v>
      </c>
      <c r="S253" s="287">
        <v>0.5847700390518494</v>
      </c>
      <c r="T253" s="287">
        <v>0.5832431494616803</v>
      </c>
    </row>
    <row r="254" spans="1:20" s="102" customFormat="1" ht="12.75">
      <c r="A254" s="286" t="s">
        <v>188</v>
      </c>
      <c r="B254" s="287"/>
      <c r="C254" s="287">
        <v>0.07333650240554691</v>
      </c>
      <c r="D254" s="287">
        <v>0.08124342400303575</v>
      </c>
      <c r="E254" s="287">
        <v>0.09353628676968957</v>
      </c>
      <c r="F254" s="385">
        <v>0.0921246517083198</v>
      </c>
      <c r="G254" s="385">
        <v>0.06062247596874326</v>
      </c>
      <c r="H254" s="385">
        <v>0.03948785735550743</v>
      </c>
      <c r="I254" s="385">
        <v>0.04001160110132204</v>
      </c>
      <c r="J254" s="385">
        <v>0.05474308779154256</v>
      </c>
      <c r="K254" s="287">
        <v>0.08721872156665308</v>
      </c>
      <c r="L254" s="287">
        <v>0.11969435534176362</v>
      </c>
      <c r="M254" s="287">
        <v>0.15216998911687415</v>
      </c>
      <c r="N254" s="287">
        <v>0.1569252207560565</v>
      </c>
      <c r="O254" s="287">
        <v>0.15896032075782243</v>
      </c>
      <c r="P254" s="287">
        <v>0.16099542075958834</v>
      </c>
      <c r="Q254" s="287">
        <v>0.16303052076135427</v>
      </c>
      <c r="R254" s="287">
        <v>0.1650656207631202</v>
      </c>
      <c r="S254" s="287">
        <v>0.16710072076488613</v>
      </c>
      <c r="T254" s="287">
        <v>0.16764076254064533</v>
      </c>
    </row>
    <row r="255" spans="1:20" s="313" customFormat="1" ht="12.75">
      <c r="A255" s="285" t="s">
        <v>189</v>
      </c>
      <c r="B255" s="291"/>
      <c r="C255" s="288">
        <f aca="true" t="shared" si="33" ref="C255:T255">(C$244*SUM(C$118:C$122)+C$245*SUM(C$123:C$127)+C$246*SUM(C$128:C$132)+C$247*SUM(C$133:C$137)+C$248*SUM(C$138:C$142)+C$249*SUM(C$143:C$147)+C$250*SUM(C$148:C$152)+C$251*SUM(C$153:C$157)+C$252*SUM(C$158:C$162)+C$253*SUM(C$163:C$167)+C$254*SUM(C$168:C$193))/SUM(C$118:C$193)</f>
        <v>0.5935219208228364</v>
      </c>
      <c r="D255" s="288">
        <f t="shared" si="33"/>
        <v>0.5935279611940472</v>
      </c>
      <c r="E255" s="288">
        <f t="shared" si="33"/>
        <v>0.5948471260427544</v>
      </c>
      <c r="F255" s="386">
        <f t="shared" si="33"/>
        <v>0.5996754911853776</v>
      </c>
      <c r="G255" s="386">
        <f t="shared" si="33"/>
        <v>0.5820186088492237</v>
      </c>
      <c r="H255" s="386">
        <f t="shared" si="33"/>
        <v>0.5706550859240432</v>
      </c>
      <c r="I255" s="386">
        <f t="shared" si="33"/>
        <v>0.5709766755258444</v>
      </c>
      <c r="J255" s="386">
        <f t="shared" si="33"/>
        <v>0.5792077954483297</v>
      </c>
      <c r="K255" s="288">
        <f t="shared" si="33"/>
        <v>0.5864336670299394</v>
      </c>
      <c r="L255" s="288">
        <f t="shared" si="33"/>
        <v>0.593551576295141</v>
      </c>
      <c r="M255" s="288">
        <f t="shared" si="33"/>
        <v>0.6007312539181621</v>
      </c>
      <c r="N255" s="288">
        <f t="shared" si="33"/>
        <v>0.6007615445277136</v>
      </c>
      <c r="O255" s="288">
        <f t="shared" si="33"/>
        <v>0.5995650695848768</v>
      </c>
      <c r="P255" s="288">
        <f t="shared" si="33"/>
        <v>0.5980960302158536</v>
      </c>
      <c r="Q255" s="288">
        <f t="shared" si="33"/>
        <v>0.5966386165411529</v>
      </c>
      <c r="R255" s="288">
        <f t="shared" si="33"/>
        <v>0.5948868582774682</v>
      </c>
      <c r="S255" s="288">
        <f t="shared" si="33"/>
        <v>0.5930199140146195</v>
      </c>
      <c r="T255" s="288">
        <f t="shared" si="33"/>
        <v>0.5906833113924916</v>
      </c>
    </row>
    <row r="256" spans="1:20" s="102" customFormat="1" ht="12.75">
      <c r="A256" s="286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</row>
    <row r="257" spans="1:20" s="102" customFormat="1" ht="12.75">
      <c r="A257" s="285" t="s">
        <v>191</v>
      </c>
      <c r="B257" s="25"/>
      <c r="C257" s="288">
        <f aca="true" t="shared" si="34" ref="C257:T257">(C$230*SUM(C$24:C$28)+C$231*SUM(C$29:C$33)+C$232*SUM(C$34:C$38)+C$233*SUM(C$39:C$43)+C$234*SUM(C$44:C$48)+C$235*SUM(C$49:C$53)+C$236*SUM(C$54:C$58)+C$237*SUM(C$59:C$63)+C$238*SUM(C$64:C$68)+C$239*SUM(C$69:C$73)+C$240*SUM(C$74:C$99)+C$244*SUM(C$118:C$122)+C$245*SUM(C$123:C$127)+C$246*SUM(C$128:C$132)+C$247*SUM(C$133:C$137)+C$248*SUM(C$138:C$142)+C$249*SUM(C$143:C$147)+C$250*SUM(C$148:C$152)+C$251*SUM(C$153:C$157)+C$252*SUM(C$158:C$162)+C$253*SUM(C$163:C$167)+C$254*SUM(C$168:C$193))/SUM(C$24:C$99,C$118:C$193)</f>
        <v>0.6621421975870061</v>
      </c>
      <c r="D257" s="288">
        <f t="shared" si="34"/>
        <v>0.6636753409584263</v>
      </c>
      <c r="E257" s="288">
        <f t="shared" si="34"/>
        <v>0.6626508836889295</v>
      </c>
      <c r="F257" s="288">
        <f t="shared" si="34"/>
        <v>0.6650545903240324</v>
      </c>
      <c r="G257" s="288">
        <f t="shared" si="34"/>
        <v>0.6471881963125027</v>
      </c>
      <c r="H257" s="288">
        <f t="shared" si="34"/>
        <v>0.635403109802042</v>
      </c>
      <c r="I257" s="288">
        <f t="shared" si="34"/>
        <v>0.634734157768546</v>
      </c>
      <c r="J257" s="288">
        <f t="shared" si="34"/>
        <v>0.641706447249269</v>
      </c>
      <c r="K257" s="288">
        <f t="shared" si="34"/>
        <v>0.6481844337216953</v>
      </c>
      <c r="L257" s="288">
        <f t="shared" si="34"/>
        <v>0.6546309341901821</v>
      </c>
      <c r="M257" s="288">
        <f t="shared" si="34"/>
        <v>0.6612436669228325</v>
      </c>
      <c r="N257" s="288">
        <f t="shared" si="34"/>
        <v>0.6610202335875612</v>
      </c>
      <c r="O257" s="288">
        <f t="shared" si="34"/>
        <v>0.6597361641166953</v>
      </c>
      <c r="P257" s="288">
        <f t="shared" si="34"/>
        <v>0.6581617993654956</v>
      </c>
      <c r="Q257" s="288">
        <f t="shared" si="34"/>
        <v>0.6566430303549596</v>
      </c>
      <c r="R257" s="288">
        <f t="shared" si="34"/>
        <v>0.6547841241403107</v>
      </c>
      <c r="S257" s="288">
        <f t="shared" si="34"/>
        <v>0.652676120433002</v>
      </c>
      <c r="T257" s="288">
        <f t="shared" si="34"/>
        <v>0.6502573814477575</v>
      </c>
    </row>
    <row r="258" spans="1:20" s="102" customFormat="1" ht="12.75">
      <c r="A258" s="285"/>
      <c r="B258" s="25"/>
      <c r="C258" s="288"/>
      <c r="D258" s="288"/>
      <c r="E258" s="288"/>
      <c r="F258" s="288"/>
      <c r="G258" s="288"/>
      <c r="H258" s="288"/>
      <c r="I258" s="288"/>
      <c r="J258" s="288"/>
      <c r="K258" s="288"/>
      <c r="L258" s="288"/>
      <c r="M258" s="288"/>
      <c r="N258" s="288"/>
      <c r="O258" s="288"/>
      <c r="P258" s="288"/>
      <c r="Q258" s="288"/>
      <c r="R258" s="288"/>
      <c r="S258" s="288"/>
      <c r="T258" s="288"/>
    </row>
    <row r="259" spans="1:20" s="102" customFormat="1" ht="12.75">
      <c r="A259" s="285" t="s">
        <v>192</v>
      </c>
      <c r="B259" s="25"/>
      <c r="C259" s="288">
        <f aca="true" t="shared" si="35" ref="C259:T259">(C$230*SUM(C$24:C$28)+C$231*SUM(C$29:C$33)+C$232*SUM(C$34:C$38)+C$233*SUM(C$39:C$43)+C$234*SUM(C$44:C$48)+C$235*SUM(C$49:C$53)+C$236*SUM(C$54:C$58)+C$237*SUM(C$59:C$63)+C$238*SUM(C$64:C$68)+C$239*SUM(C$69:C$73)+C$240*SUM(C$74:C$99)+C$244*SUM(C$118:C$122)+C$245*SUM(C$123:C$127)+C$246*SUM(C$128:C$132)+C$247*SUM(C$133:C$137)+C$248*SUM(C$138:C$142)+C$249*SUM(C$143:C$147)+C$250*SUM(C$148:C$152)+C$251*SUM(C$153:C$157)+C$252*SUM(C$158:C$162)+C$253*SUM(C$163:C$167)+C$254*SUM(C$168:C$193))/1000000</f>
        <v>2.18263256875</v>
      </c>
      <c r="D259" s="288">
        <f t="shared" si="35"/>
        <v>2.2165760875</v>
      </c>
      <c r="E259" s="288">
        <f t="shared" si="35"/>
        <v>2.2392961312499997</v>
      </c>
      <c r="F259" s="288">
        <f>(F$230*SUM(F$24:F$28)+F$231*SUM(F$29:F$33)+F$232*SUM(F$34:F$38)+F$233*SUM(F$39:F$43)+F$234*SUM(F$44:F$48)+F$235*SUM(F$49:F$53)+F$236*SUM(F$54:F$58)+F$237*SUM(F$59:F$63)+F$238*SUM(F$64:F$68)+F$239*SUM(F$69:F$73)+F$240*SUM(F$74:F$99)+F$244*SUM(F$118:F$122)+F$245*SUM(F$123:F$127)+F$246*SUM(F$128:F$132)+F$247*SUM(F$133:F$137)+F$248*SUM(F$138:F$142)+F$249*SUM(F$143:F$147)+F$250*SUM(F$148:F$152)+F$251*SUM(F$153:F$157)+F$252*SUM(F$158:F$162)+F$253*SUM(F$163:F$167)+F$254*SUM(F$168:F$193))/1000000</f>
        <v>2.274499999999997</v>
      </c>
      <c r="G259" s="288">
        <f t="shared" si="35"/>
        <v>2.242300000000002</v>
      </c>
      <c r="H259" s="288">
        <f t="shared" si="35"/>
        <v>2.2263000000000024</v>
      </c>
      <c r="I259" s="288">
        <f t="shared" si="35"/>
        <v>2.247599999999999</v>
      </c>
      <c r="J259" s="288">
        <f>(J$230*SUM(J$24:J$28)+J$231*SUM(J$29:J$33)+J$232*SUM(J$34:J$38)+J$233*SUM(J$39:J$43)+J$234*SUM(J$44:J$48)+J$235*SUM(J$49:J$53)+J$236*SUM(J$54:J$58)+J$237*SUM(J$59:J$63)+J$238*SUM(J$64:J$68)+J$239*SUM(J$69:J$73)+J$240*SUM(J$74:J$99)+J$244*SUM(J$118:J$122)+J$245*SUM(J$123:J$127)+J$246*SUM(J$128:J$132)+J$247*SUM(J$133:J$137)+J$248*SUM(J$138:J$142)+J$249*SUM(J$143:J$147)+J$250*SUM(J$148:J$152)+J$251*SUM(J$153:J$157)+J$252*SUM(J$158:J$162)+J$253*SUM(J$163:J$167)+J$254*SUM(J$168:J$193))/1000000</f>
        <v>2.2959999999999945</v>
      </c>
      <c r="K259" s="288">
        <f t="shared" si="35"/>
        <v>2.3423376062957533</v>
      </c>
      <c r="L259" s="288">
        <f t="shared" si="35"/>
        <v>2.3900575407283546</v>
      </c>
      <c r="M259" s="288">
        <f t="shared" si="35"/>
        <v>2.437899600957776</v>
      </c>
      <c r="N259" s="288">
        <f t="shared" si="35"/>
        <v>2.4590812015760943</v>
      </c>
      <c r="O259" s="288">
        <f t="shared" si="35"/>
        <v>2.4764252497982744</v>
      </c>
      <c r="P259" s="288">
        <f t="shared" si="35"/>
        <v>2.493347252626275</v>
      </c>
      <c r="Q259" s="288">
        <f t="shared" si="35"/>
        <v>2.509945752798494</v>
      </c>
      <c r="R259" s="288">
        <f t="shared" si="35"/>
        <v>2.5257577326175933</v>
      </c>
      <c r="S259" s="288">
        <f t="shared" si="35"/>
        <v>2.542127801758113</v>
      </c>
      <c r="T259" s="288">
        <f t="shared" si="35"/>
        <v>2.55827510296084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123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35.7109375" style="0" customWidth="1"/>
    <col min="5" max="5" width="10.00390625" style="0" bestFit="1" customWidth="1"/>
    <col min="6" max="7" width="9.57421875" style="0" bestFit="1" customWidth="1"/>
  </cols>
  <sheetData>
    <row r="1" ht="15.75">
      <c r="A1" s="16" t="s">
        <v>294</v>
      </c>
    </row>
    <row r="3" spans="1:51" ht="18.75">
      <c r="A3" s="17" t="s">
        <v>469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1" ht="12.75">
      <c r="A4" s="27" t="s">
        <v>608</v>
      </c>
      <c r="B4" s="18" t="s">
        <v>388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12.75">
      <c r="A5" s="18"/>
      <c r="B5" s="18"/>
      <c r="C5" s="88" t="s">
        <v>531</v>
      </c>
      <c r="D5" s="88" t="s">
        <v>532</v>
      </c>
      <c r="E5" s="88" t="s">
        <v>533</v>
      </c>
      <c r="F5" s="88" t="s">
        <v>534</v>
      </c>
      <c r="G5" s="88" t="s">
        <v>535</v>
      </c>
      <c r="H5" s="88" t="s">
        <v>536</v>
      </c>
      <c r="I5" s="88" t="s">
        <v>537</v>
      </c>
      <c r="J5" s="86" t="s">
        <v>538</v>
      </c>
      <c r="K5" s="86" t="s">
        <v>539</v>
      </c>
      <c r="L5" s="86" t="s">
        <v>540</v>
      </c>
      <c r="M5" s="86" t="s">
        <v>541</v>
      </c>
      <c r="N5" s="86" t="s">
        <v>542</v>
      </c>
      <c r="O5" s="19" t="s">
        <v>543</v>
      </c>
      <c r="P5" s="19" t="s">
        <v>544</v>
      </c>
      <c r="Q5" s="19" t="s">
        <v>545</v>
      </c>
      <c r="R5" s="19" t="s">
        <v>546</v>
      </c>
      <c r="S5" s="19" t="s">
        <v>547</v>
      </c>
      <c r="T5" s="19" t="s">
        <v>548</v>
      </c>
      <c r="U5" s="19" t="s">
        <v>549</v>
      </c>
      <c r="V5" s="19" t="s">
        <v>550</v>
      </c>
      <c r="W5" s="19" t="s">
        <v>551</v>
      </c>
      <c r="X5" s="19" t="s">
        <v>552</v>
      </c>
      <c r="Y5" s="19" t="s">
        <v>553</v>
      </c>
      <c r="Z5" s="19" t="s">
        <v>554</v>
      </c>
      <c r="AA5" s="19" t="s">
        <v>555</v>
      </c>
      <c r="AB5" s="19" t="s">
        <v>556</v>
      </c>
      <c r="AC5" s="19" t="s">
        <v>557</v>
      </c>
      <c r="AD5" s="19" t="s">
        <v>558</v>
      </c>
      <c r="AE5" s="19" t="s">
        <v>559</v>
      </c>
      <c r="AF5" s="19" t="s">
        <v>560</v>
      </c>
      <c r="AG5" s="19" t="s">
        <v>561</v>
      </c>
      <c r="AH5" s="19" t="s">
        <v>562</v>
      </c>
      <c r="AI5" s="19" t="s">
        <v>563</v>
      </c>
      <c r="AJ5" s="19" t="s">
        <v>564</v>
      </c>
      <c r="AK5" s="19" t="s">
        <v>565</v>
      </c>
      <c r="AL5" s="19" t="s">
        <v>566</v>
      </c>
      <c r="AM5" s="19" t="s">
        <v>567</v>
      </c>
      <c r="AN5" s="19" t="s">
        <v>568</v>
      </c>
      <c r="AO5" s="19" t="s">
        <v>569</v>
      </c>
      <c r="AP5" s="19" t="s">
        <v>570</v>
      </c>
      <c r="AQ5" s="19" t="s">
        <v>571</v>
      </c>
      <c r="AR5" s="19" t="s">
        <v>572</v>
      </c>
      <c r="AS5" s="19" t="s">
        <v>573</v>
      </c>
      <c r="AT5" s="19" t="s">
        <v>574</v>
      </c>
      <c r="AU5" s="19" t="s">
        <v>575</v>
      </c>
      <c r="AV5" s="19" t="s">
        <v>576</v>
      </c>
      <c r="AW5" s="19" t="s">
        <v>577</v>
      </c>
      <c r="AX5" s="19" t="s">
        <v>578</v>
      </c>
      <c r="AY5" s="19" t="s">
        <v>579</v>
      </c>
    </row>
    <row r="6" spans="1:51" ht="12.75">
      <c r="A6" s="20" t="s">
        <v>595</v>
      </c>
      <c r="B6" s="18"/>
      <c r="C6" s="87">
        <v>0.6</v>
      </c>
      <c r="D6" s="87">
        <v>1.2</v>
      </c>
      <c r="E6" s="87">
        <v>1.8789999999999996</v>
      </c>
      <c r="F6" s="139">
        <v>2.107</v>
      </c>
      <c r="G6" s="139">
        <v>2.3369999999999997</v>
      </c>
      <c r="H6" s="139">
        <v>2.048</v>
      </c>
      <c r="I6" s="139">
        <v>2.104</v>
      </c>
      <c r="J6" s="195">
        <v>2.242</v>
      </c>
      <c r="K6" s="195">
        <v>0.25</v>
      </c>
      <c r="L6" s="195">
        <v>0</v>
      </c>
      <c r="M6" s="195">
        <v>0</v>
      </c>
      <c r="N6" s="195">
        <v>0</v>
      </c>
      <c r="O6" s="196">
        <v>0</v>
      </c>
      <c r="P6" s="196">
        <v>0</v>
      </c>
      <c r="Q6" s="196">
        <v>0</v>
      </c>
      <c r="R6" s="196">
        <v>0</v>
      </c>
      <c r="S6" s="196">
        <v>0</v>
      </c>
      <c r="T6" s="196">
        <v>0</v>
      </c>
      <c r="U6" s="196">
        <v>0</v>
      </c>
      <c r="V6" s="196">
        <v>2.780079767097238</v>
      </c>
      <c r="W6" s="196">
        <v>2.6636523872256745</v>
      </c>
      <c r="X6" s="196">
        <v>2.538321823783427</v>
      </c>
      <c r="Y6" s="196">
        <v>2.3047410292655677</v>
      </c>
      <c r="Z6" s="196">
        <v>2.0464164403709333</v>
      </c>
      <c r="AA6" s="196">
        <v>1.7248086695578166</v>
      </c>
      <c r="AB6" s="196">
        <v>1.3636403432120403</v>
      </c>
      <c r="AC6" s="196">
        <v>0.9881619963583503</v>
      </c>
      <c r="AD6" s="196">
        <v>0.627041473550193</v>
      </c>
      <c r="AE6" s="196">
        <v>0.3080226834463531</v>
      </c>
      <c r="AF6" s="196">
        <v>-0.005645405872115816</v>
      </c>
      <c r="AG6" s="196">
        <v>-0.32199169884570367</v>
      </c>
      <c r="AH6" s="196">
        <v>-0.6525748991943061</v>
      </c>
      <c r="AI6" s="196">
        <v>-1.0124785485474703</v>
      </c>
      <c r="AJ6" s="196">
        <v>-1.360915595449729</v>
      </c>
      <c r="AK6" s="196">
        <v>-1.7594020752663724</v>
      </c>
      <c r="AL6" s="196">
        <v>-2.143357782004287</v>
      </c>
      <c r="AM6" s="196">
        <v>-2.449751621434416</v>
      </c>
      <c r="AN6" s="196">
        <v>-2.6897057059759177</v>
      </c>
      <c r="AO6" s="196">
        <v>-2.8533854972302564</v>
      </c>
      <c r="AP6" s="196">
        <v>-2.9448729485247966</v>
      </c>
      <c r="AQ6" s="196">
        <v>-3.027014478204272</v>
      </c>
      <c r="AR6" s="196">
        <v>-3.087598043576307</v>
      </c>
      <c r="AS6" s="196">
        <v>-3.197160370020967</v>
      </c>
      <c r="AT6" s="196">
        <v>-3.3327503439763078</v>
      </c>
      <c r="AU6" s="196">
        <v>-3.5114891797419787</v>
      </c>
      <c r="AV6" s="196">
        <v>-3.7333230840928735</v>
      </c>
      <c r="AW6" s="196">
        <v>-4.041354928975402</v>
      </c>
      <c r="AX6" s="196">
        <v>-4.340886873097723</v>
      </c>
      <c r="AY6" s="196">
        <v>-4.633246263857565</v>
      </c>
    </row>
    <row r="7" spans="1:51" ht="12.75">
      <c r="A7" s="20" t="s">
        <v>605</v>
      </c>
      <c r="B7" s="18"/>
      <c r="C7" s="87">
        <v>0.015</v>
      </c>
      <c r="D7" s="87">
        <v>0.069</v>
      </c>
      <c r="E7" s="87">
        <f>0.131+0.146-0.007</f>
        <v>0.27</v>
      </c>
      <c r="F7" s="87">
        <f>0.191+0.557-0.022</f>
        <v>0.726</v>
      </c>
      <c r="G7" s="87">
        <f>0.359+1.13-0.052+(-0.006)</f>
        <v>1.4309999999999998</v>
      </c>
      <c r="H7" s="87">
        <f>0.436+1.313-(-0.052)+(-0.024)</f>
        <v>1.777</v>
      </c>
      <c r="I7" s="87">
        <f>0.385+(-0.995)-0.034+0.016</f>
        <v>-0.628</v>
      </c>
      <c r="J7" s="195">
        <v>-3.262</v>
      </c>
      <c r="K7" s="195">
        <v>1.065</v>
      </c>
      <c r="L7" s="195">
        <v>1.2009999999999998</v>
      </c>
      <c r="M7" s="195">
        <v>1.4979999999999998</v>
      </c>
      <c r="N7" s="195">
        <v>1.8799999999999997</v>
      </c>
      <c r="O7" s="196">
        <v>1.6092459999999997</v>
      </c>
      <c r="P7" s="196">
        <v>1.7150378320399997</v>
      </c>
      <c r="Q7" s="196">
        <v>1.8277844191183092</v>
      </c>
      <c r="R7" s="196">
        <v>1.9479429668311468</v>
      </c>
      <c r="S7" s="196">
        <v>2.0760007374706264</v>
      </c>
      <c r="T7" s="196">
        <v>2.2124770259519453</v>
      </c>
      <c r="U7" s="196">
        <v>2.357925265638026</v>
      </c>
      <c r="V7" s="196">
        <v>2.6272752222128726</v>
      </c>
      <c r="W7" s="196">
        <v>3.035680735179952</v>
      </c>
      <c r="X7" s="196">
        <v>3.460497685421993</v>
      </c>
      <c r="Y7" s="196">
        <v>3.897948860453989</v>
      </c>
      <c r="Z7" s="196">
        <v>4.3429356668536805</v>
      </c>
      <c r="AA7" s="196">
        <v>4.792228099391289</v>
      </c>
      <c r="AB7" s="196">
        <v>5.241610885944664</v>
      </c>
      <c r="AC7" s="196">
        <v>5.688706489866806</v>
      </c>
      <c r="AD7" s="196">
        <v>6.133305794656437</v>
      </c>
      <c r="AE7" s="196">
        <v>6.577627705136384</v>
      </c>
      <c r="AF7" s="196">
        <v>7.0237842778846495</v>
      </c>
      <c r="AG7" s="196">
        <v>7.472028744040835</v>
      </c>
      <c r="AH7" s="196">
        <v>7.921791307288302</v>
      </c>
      <c r="AI7" s="196">
        <v>8.371319914444216</v>
      </c>
      <c r="AJ7" s="196">
        <v>8.819740468410167</v>
      </c>
      <c r="AK7" s="196">
        <v>9.265441937036396</v>
      </c>
      <c r="AL7" s="196">
        <v>9.70657236567387</v>
      </c>
      <c r="AM7" s="196">
        <v>10.146680527662797</v>
      </c>
      <c r="AN7" s="196">
        <v>10.591950887159909</v>
      </c>
      <c r="AO7" s="196">
        <v>11.048874323654934</v>
      </c>
      <c r="AP7" s="196">
        <v>11.52464675300547</v>
      </c>
      <c r="AQ7" s="196">
        <v>12.024167179175436</v>
      </c>
      <c r="AR7" s="196">
        <v>12.550307478228627</v>
      </c>
      <c r="AS7" s="196">
        <v>13.103781349047253</v>
      </c>
      <c r="AT7" s="196">
        <v>13.683092978048409</v>
      </c>
      <c r="AU7" s="196">
        <v>14.286985381538518</v>
      </c>
      <c r="AV7" s="196">
        <v>14.91334433550968</v>
      </c>
      <c r="AW7" s="196">
        <v>15.55814631978829</v>
      </c>
      <c r="AX7" s="196">
        <v>16.219042418383964</v>
      </c>
      <c r="AY7" s="196">
        <v>16.897771308248103</v>
      </c>
    </row>
    <row r="8" spans="1:51" ht="12.75">
      <c r="A8" s="20" t="s">
        <v>606</v>
      </c>
      <c r="B8" s="18"/>
      <c r="C8" s="87">
        <v>0</v>
      </c>
      <c r="D8" s="87">
        <v>0</v>
      </c>
      <c r="E8" s="87">
        <v>0.077</v>
      </c>
      <c r="F8" s="139">
        <v>0.234</v>
      </c>
      <c r="G8" s="139">
        <v>0.468</v>
      </c>
      <c r="H8" s="139">
        <v>0.707</v>
      </c>
      <c r="I8" s="139">
        <v>0.237</v>
      </c>
      <c r="J8" s="195">
        <v>-0.083</v>
      </c>
      <c r="K8" s="195">
        <v>0</v>
      </c>
      <c r="L8" s="195">
        <v>0</v>
      </c>
      <c r="M8" s="195">
        <v>0.165</v>
      </c>
      <c r="N8" s="195">
        <v>0.4</v>
      </c>
      <c r="O8" s="196">
        <v>0.3862190399999999</v>
      </c>
      <c r="P8" s="196">
        <v>0.4116090796895999</v>
      </c>
      <c r="Q8" s="196">
        <v>0.4386682605883942</v>
      </c>
      <c r="R8" s="196">
        <v>0.4675063120394752</v>
      </c>
      <c r="S8" s="196">
        <v>0.4982401769929503</v>
      </c>
      <c r="T8" s="196">
        <v>0.5309944862284669</v>
      </c>
      <c r="U8" s="196">
        <v>0.5659020637531262</v>
      </c>
      <c r="V8" s="196">
        <v>0.6305460533310894</v>
      </c>
      <c r="W8" s="196">
        <v>0.7285633764431885</v>
      </c>
      <c r="X8" s="196">
        <v>0.8305194445012783</v>
      </c>
      <c r="Y8" s="196">
        <v>0.9355077265089573</v>
      </c>
      <c r="Z8" s="196">
        <v>1.0423045600448833</v>
      </c>
      <c r="AA8" s="196">
        <v>1.1501347438539093</v>
      </c>
      <c r="AB8" s="196">
        <v>1.2579866126267194</v>
      </c>
      <c r="AC8" s="196">
        <v>1.3652895575680333</v>
      </c>
      <c r="AD8" s="196">
        <v>1.4719933907175446</v>
      </c>
      <c r="AE8" s="196">
        <v>1.578630649232732</v>
      </c>
      <c r="AF8" s="196">
        <v>1.6857082266923158</v>
      </c>
      <c r="AG8" s="196">
        <v>1.7932868985698003</v>
      </c>
      <c r="AH8" s="196">
        <v>1.9012299137491924</v>
      </c>
      <c r="AI8" s="196">
        <v>2.009116779466612</v>
      </c>
      <c r="AJ8" s="196">
        <v>2.11673771241844</v>
      </c>
      <c r="AK8" s="196">
        <v>2.223706064888735</v>
      </c>
      <c r="AL8" s="196">
        <v>2.3295773677617286</v>
      </c>
      <c r="AM8" s="196">
        <v>2.4352033266390714</v>
      </c>
      <c r="AN8" s="196">
        <v>2.542068212918378</v>
      </c>
      <c r="AO8" s="196">
        <v>2.651729837677184</v>
      </c>
      <c r="AP8" s="196">
        <v>2.765915220721313</v>
      </c>
      <c r="AQ8" s="196">
        <v>2.8858001230021046</v>
      </c>
      <c r="AR8" s="196">
        <v>3.0120737947748704</v>
      </c>
      <c r="AS8" s="196">
        <v>3.1449075237713404</v>
      </c>
      <c r="AT8" s="196">
        <v>3.283942314731618</v>
      </c>
      <c r="AU8" s="196">
        <v>3.4288764915692442</v>
      </c>
      <c r="AV8" s="196">
        <v>3.579202640522323</v>
      </c>
      <c r="AW8" s="196">
        <v>3.73395511674919</v>
      </c>
      <c r="AX8" s="196">
        <v>3.892570180412151</v>
      </c>
      <c r="AY8" s="196">
        <v>4.055465113979545</v>
      </c>
    </row>
    <row r="9" spans="1:51" ht="12.75">
      <c r="A9" s="20" t="s">
        <v>155</v>
      </c>
      <c r="B9" s="18"/>
      <c r="C9" s="87">
        <v>0.615</v>
      </c>
      <c r="D9" s="87">
        <v>1.884</v>
      </c>
      <c r="E9" s="87">
        <v>3.956</v>
      </c>
      <c r="F9" s="139">
        <v>6.555</v>
      </c>
      <c r="G9" s="139">
        <v>9.855</v>
      </c>
      <c r="H9" s="139">
        <v>12.973</v>
      </c>
      <c r="I9" s="139">
        <v>14.212</v>
      </c>
      <c r="J9" s="195">
        <v>13.275</v>
      </c>
      <c r="K9" s="195">
        <v>14.59</v>
      </c>
      <c r="L9" s="195">
        <v>15.791</v>
      </c>
      <c r="M9" s="195">
        <v>17.124</v>
      </c>
      <c r="N9" s="195">
        <v>18.604</v>
      </c>
      <c r="O9" s="196">
        <v>19.827026959999998</v>
      </c>
      <c r="P9" s="196">
        <v>21.130455712350397</v>
      </c>
      <c r="Q9" s="196">
        <v>22.519571870880313</v>
      </c>
      <c r="R9" s="196">
        <v>24.000008525671984</v>
      </c>
      <c r="S9" s="196">
        <v>25.577769086149658</v>
      </c>
      <c r="T9" s="196">
        <v>27.259251625873137</v>
      </c>
      <c r="U9" s="196">
        <v>29.051274827758036</v>
      </c>
      <c r="V9" s="196">
        <v>33.828083763737055</v>
      </c>
      <c r="W9" s="196">
        <v>38.79885350969949</v>
      </c>
      <c r="X9" s="196">
        <v>43.96715357440363</v>
      </c>
      <c r="Y9" s="196">
        <v>49.23433573761423</v>
      </c>
      <c r="Z9" s="196">
        <v>54.58138328479396</v>
      </c>
      <c r="AA9" s="196">
        <v>59.94828530988915</v>
      </c>
      <c r="AB9" s="196">
        <v>65.29554992641914</v>
      </c>
      <c r="AC9" s="196">
        <v>70.60712885507625</v>
      </c>
      <c r="AD9" s="196">
        <v>75.89548273256534</v>
      </c>
      <c r="AE9" s="196">
        <v>81.20250247191535</v>
      </c>
      <c r="AF9" s="196">
        <v>86.53493311723557</v>
      </c>
      <c r="AG9" s="196">
        <v>91.8916832638609</v>
      </c>
      <c r="AH9" s="196">
        <v>97.2596697582057</v>
      </c>
      <c r="AI9" s="196">
        <v>102.60939434463585</v>
      </c>
      <c r="AJ9" s="196">
        <v>107.95148150517785</v>
      </c>
      <c r="AK9" s="196">
        <v>113.23381530205913</v>
      </c>
      <c r="AL9" s="196">
        <v>118.46745251796698</v>
      </c>
      <c r="AM9" s="196">
        <v>123.72917809755629</v>
      </c>
      <c r="AN9" s="196">
        <v>129.0893550658219</v>
      </c>
      <c r="AO9" s="196">
        <v>134.6331140545694</v>
      </c>
      <c r="AP9" s="196">
        <v>140.44697263832876</v>
      </c>
      <c r="AQ9" s="196">
        <v>146.55832521629782</v>
      </c>
      <c r="AR9" s="196">
        <v>153.0089608561753</v>
      </c>
      <c r="AS9" s="196">
        <v>159.7706743114302</v>
      </c>
      <c r="AT9" s="196">
        <v>166.8370746307707</v>
      </c>
      <c r="AU9" s="196">
        <v>174.183694340998</v>
      </c>
      <c r="AV9" s="196">
        <v>181.78451295189245</v>
      </c>
      <c r="AW9" s="196">
        <v>189.56734922595615</v>
      </c>
      <c r="AX9" s="196">
        <v>197.55293459083023</v>
      </c>
      <c r="AY9" s="196">
        <v>205.76199452124123</v>
      </c>
    </row>
    <row r="10" spans="1:51" ht="12.75">
      <c r="A10" s="64" t="s">
        <v>156</v>
      </c>
      <c r="C10" s="66">
        <f aca="true" t="shared" si="0" ref="C10:AY10">ROUND(B9+C6+C7-C8-C9,3)</f>
        <v>0</v>
      </c>
      <c r="D10" s="66">
        <f t="shared" si="0"/>
        <v>0</v>
      </c>
      <c r="E10" s="66">
        <f t="shared" si="0"/>
        <v>0</v>
      </c>
      <c r="F10" s="66">
        <f t="shared" si="0"/>
        <v>0</v>
      </c>
      <c r="G10" s="66">
        <f t="shared" si="0"/>
        <v>0</v>
      </c>
      <c r="H10" s="66">
        <f t="shared" si="0"/>
        <v>0</v>
      </c>
      <c r="I10" s="66">
        <f t="shared" si="0"/>
        <v>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114">
        <f t="shared" si="0"/>
        <v>0</v>
      </c>
      <c r="P10" s="114">
        <f t="shared" si="0"/>
        <v>0</v>
      </c>
      <c r="Q10" s="114">
        <f t="shared" si="0"/>
        <v>0</v>
      </c>
      <c r="R10" s="114">
        <f t="shared" si="0"/>
        <v>0</v>
      </c>
      <c r="S10" s="114">
        <f t="shared" si="0"/>
        <v>0</v>
      </c>
      <c r="T10" s="114">
        <f t="shared" si="0"/>
        <v>0</v>
      </c>
      <c r="U10" s="114">
        <f t="shared" si="0"/>
        <v>0</v>
      </c>
      <c r="V10" s="114">
        <f t="shared" si="0"/>
        <v>0</v>
      </c>
      <c r="W10" s="114">
        <f t="shared" si="0"/>
        <v>0</v>
      </c>
      <c r="X10" s="114">
        <f t="shared" si="0"/>
        <v>0</v>
      </c>
      <c r="Y10" s="114">
        <f t="shared" si="0"/>
        <v>0</v>
      </c>
      <c r="Z10" s="114">
        <f t="shared" si="0"/>
        <v>0</v>
      </c>
      <c r="AA10" s="114">
        <f t="shared" si="0"/>
        <v>0</v>
      </c>
      <c r="AB10" s="114">
        <f t="shared" si="0"/>
        <v>0</v>
      </c>
      <c r="AC10" s="114">
        <f t="shared" si="0"/>
        <v>0</v>
      </c>
      <c r="AD10" s="114">
        <f t="shared" si="0"/>
        <v>0</v>
      </c>
      <c r="AE10" s="114">
        <f t="shared" si="0"/>
        <v>0</v>
      </c>
      <c r="AF10" s="114">
        <f t="shared" si="0"/>
        <v>0</v>
      </c>
      <c r="AG10" s="114">
        <f t="shared" si="0"/>
        <v>0</v>
      </c>
      <c r="AH10" s="114">
        <f t="shared" si="0"/>
        <v>0</v>
      </c>
      <c r="AI10" s="114">
        <f t="shared" si="0"/>
        <v>0</v>
      </c>
      <c r="AJ10" s="114">
        <f t="shared" si="0"/>
        <v>0</v>
      </c>
      <c r="AK10" s="114">
        <f t="shared" si="0"/>
        <v>0</v>
      </c>
      <c r="AL10" s="114">
        <f t="shared" si="0"/>
        <v>0</v>
      </c>
      <c r="AM10" s="114">
        <f t="shared" si="0"/>
        <v>0</v>
      </c>
      <c r="AN10" s="114">
        <f t="shared" si="0"/>
        <v>0</v>
      </c>
      <c r="AO10" s="114">
        <f t="shared" si="0"/>
        <v>0</v>
      </c>
      <c r="AP10" s="114">
        <f t="shared" si="0"/>
        <v>0</v>
      </c>
      <c r="AQ10" s="114">
        <f t="shared" si="0"/>
        <v>0</v>
      </c>
      <c r="AR10" s="114">
        <f t="shared" si="0"/>
        <v>0</v>
      </c>
      <c r="AS10" s="114">
        <f t="shared" si="0"/>
        <v>0</v>
      </c>
      <c r="AT10" s="114">
        <f t="shared" si="0"/>
        <v>0</v>
      </c>
      <c r="AU10" s="114">
        <f t="shared" si="0"/>
        <v>0</v>
      </c>
      <c r="AV10" s="114">
        <f t="shared" si="0"/>
        <v>0</v>
      </c>
      <c r="AW10" s="114">
        <f t="shared" si="0"/>
        <v>0</v>
      </c>
      <c r="AX10" s="114">
        <f t="shared" si="0"/>
        <v>0</v>
      </c>
      <c r="AY10" s="114">
        <f t="shared" si="0"/>
        <v>0</v>
      </c>
    </row>
    <row r="11" spans="1:51" ht="12.75">
      <c r="A11" s="64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</row>
    <row r="12" spans="1:50" ht="18.75">
      <c r="A12" s="21" t="s">
        <v>591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12.75">
      <c r="A13" s="28" t="s">
        <v>608</v>
      </c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12"/>
      <c r="B14" s="12"/>
      <c r="C14" s="89" t="s">
        <v>532</v>
      </c>
      <c r="D14" s="89" t="s">
        <v>533</v>
      </c>
      <c r="E14" s="89" t="s">
        <v>534</v>
      </c>
      <c r="F14" s="89" t="s">
        <v>535</v>
      </c>
      <c r="G14" s="89" t="s">
        <v>536</v>
      </c>
      <c r="H14" s="89" t="s">
        <v>537</v>
      </c>
      <c r="I14" s="204" t="s">
        <v>538</v>
      </c>
      <c r="J14" s="204" t="s">
        <v>539</v>
      </c>
      <c r="K14" s="204" t="s">
        <v>540</v>
      </c>
      <c r="L14" s="204" t="s">
        <v>541</v>
      </c>
      <c r="M14" s="204" t="s">
        <v>542</v>
      </c>
      <c r="N14" s="22" t="s">
        <v>543</v>
      </c>
      <c r="O14" s="22" t="s">
        <v>544</v>
      </c>
      <c r="P14" s="22" t="s">
        <v>545</v>
      </c>
      <c r="Q14" s="22" t="s">
        <v>546</v>
      </c>
      <c r="R14" s="22" t="s">
        <v>547</v>
      </c>
      <c r="S14" s="22" t="s">
        <v>548</v>
      </c>
      <c r="T14" s="22" t="s">
        <v>549</v>
      </c>
      <c r="U14" s="22" t="s">
        <v>550</v>
      </c>
      <c r="V14" s="22" t="s">
        <v>551</v>
      </c>
      <c r="W14" s="22" t="s">
        <v>552</v>
      </c>
      <c r="X14" s="22" t="s">
        <v>553</v>
      </c>
      <c r="Y14" s="22" t="s">
        <v>554</v>
      </c>
      <c r="Z14" s="22" t="s">
        <v>555</v>
      </c>
      <c r="AA14" s="22" t="s">
        <v>556</v>
      </c>
      <c r="AB14" s="22" t="s">
        <v>557</v>
      </c>
      <c r="AC14" s="22" t="s">
        <v>558</v>
      </c>
      <c r="AD14" s="22" t="s">
        <v>559</v>
      </c>
      <c r="AE14" s="22" t="s">
        <v>560</v>
      </c>
      <c r="AF14" s="22" t="s">
        <v>561</v>
      </c>
      <c r="AG14" s="22" t="s">
        <v>562</v>
      </c>
      <c r="AH14" s="22" t="s">
        <v>563</v>
      </c>
      <c r="AI14" s="22" t="s">
        <v>564</v>
      </c>
      <c r="AJ14" s="22" t="s">
        <v>565</v>
      </c>
      <c r="AK14" s="22" t="s">
        <v>566</v>
      </c>
      <c r="AL14" s="22" t="s">
        <v>567</v>
      </c>
      <c r="AM14" s="22" t="s">
        <v>568</v>
      </c>
      <c r="AN14" s="22" t="s">
        <v>569</v>
      </c>
      <c r="AO14" s="22" t="s">
        <v>570</v>
      </c>
      <c r="AP14" s="22" t="s">
        <v>571</v>
      </c>
      <c r="AQ14" s="22" t="s">
        <v>572</v>
      </c>
      <c r="AR14" s="22" t="s">
        <v>573</v>
      </c>
      <c r="AS14" s="22" t="s">
        <v>574</v>
      </c>
      <c r="AT14" s="22" t="s">
        <v>575</v>
      </c>
      <c r="AU14" s="22" t="s">
        <v>576</v>
      </c>
      <c r="AV14" s="22" t="s">
        <v>577</v>
      </c>
      <c r="AW14" s="22" t="s">
        <v>578</v>
      </c>
      <c r="AX14" s="22" t="s">
        <v>579</v>
      </c>
    </row>
    <row r="15" spans="1:50" ht="12.75">
      <c r="A15" s="23" t="s">
        <v>607</v>
      </c>
      <c r="B15" s="12"/>
      <c r="C15" s="90"/>
      <c r="D15" s="90"/>
      <c r="E15" s="90">
        <v>0.762</v>
      </c>
      <c r="F15" s="90">
        <v>0.773</v>
      </c>
      <c r="G15" s="90">
        <v>0.788581933742139</v>
      </c>
      <c r="H15" s="90">
        <f>3*0.272814566577404</f>
        <v>0.818443699732212</v>
      </c>
      <c r="I15" s="340">
        <f>0.278720274423007*12/4</f>
        <v>0.836160823269021</v>
      </c>
      <c r="J15" s="340">
        <v>0.8397631029668334</v>
      </c>
      <c r="K15" s="340">
        <v>0.8556572090296566</v>
      </c>
      <c r="L15" s="340">
        <v>0.8749537915103</v>
      </c>
      <c r="M15" s="340">
        <v>0.8763054762634466</v>
      </c>
      <c r="N15" s="13">
        <v>0.8708699859897867</v>
      </c>
      <c r="O15" s="13">
        <v>0.8715252852054532</v>
      </c>
      <c r="P15" s="13">
        <v>0.8756538826737632</v>
      </c>
      <c r="Q15" s="13">
        <v>0.8781491772783474</v>
      </c>
      <c r="R15" s="13">
        <v>0.8791361519570482</v>
      </c>
      <c r="S15" s="13">
        <v>0.8792673645943466</v>
      </c>
      <c r="T15" s="13">
        <v>0.8793849228569847</v>
      </c>
      <c r="U15" s="13">
        <v>0.8752258599607996</v>
      </c>
      <c r="V15" s="13">
        <v>0.8686281768571753</v>
      </c>
      <c r="W15" s="13">
        <v>0.8604488218311849</v>
      </c>
      <c r="X15" s="13">
        <v>0.8505335983792083</v>
      </c>
      <c r="Y15" s="13">
        <v>0.8380804400847938</v>
      </c>
      <c r="Z15" s="13">
        <v>0.8238301595415948</v>
      </c>
      <c r="AA15" s="13">
        <v>0.8075626244265475</v>
      </c>
      <c r="AB15" s="13">
        <v>0.7898813920691511</v>
      </c>
      <c r="AC15" s="13">
        <v>0.7707463732014662</v>
      </c>
      <c r="AD15" s="13">
        <v>0.7497361239788176</v>
      </c>
      <c r="AE15" s="13">
        <v>0.7277013019959737</v>
      </c>
      <c r="AF15" s="13">
        <v>0.703843136115369</v>
      </c>
      <c r="AG15" s="13">
        <v>0.678598574522014</v>
      </c>
      <c r="AH15" s="13">
        <v>0.6513686722597797</v>
      </c>
      <c r="AI15" s="13">
        <v>0.6222416079489278</v>
      </c>
      <c r="AJ15" s="13">
        <v>0.5919706875508677</v>
      </c>
      <c r="AK15" s="13">
        <v>0.5610672701643099</v>
      </c>
      <c r="AL15" s="13">
        <v>0.5298877301693766</v>
      </c>
      <c r="AM15" s="13">
        <v>0.49849175150748865</v>
      </c>
      <c r="AN15" s="13">
        <v>0.4671381435382239</v>
      </c>
      <c r="AO15" s="13">
        <v>0.43602901169489705</v>
      </c>
      <c r="AP15" s="13">
        <v>0.40532749982712746</v>
      </c>
      <c r="AQ15" s="13">
        <v>0.37520718188159996</v>
      </c>
      <c r="AR15" s="13">
        <v>0.3458305621912666</v>
      </c>
      <c r="AS15" s="13">
        <v>0.31735051444216666</v>
      </c>
      <c r="AT15" s="13">
        <v>0.26351810670806664</v>
      </c>
      <c r="AU15" s="13">
        <v>0.23840773478406668</v>
      </c>
      <c r="AV15" s="13">
        <v>0.21461777410523333</v>
      </c>
      <c r="AW15" s="13">
        <v>0.19218624950606666</v>
      </c>
      <c r="AX15" s="13">
        <v>0.17116843084339997</v>
      </c>
    </row>
    <row r="16" spans="1:50" ht="12.75">
      <c r="A16" s="23" t="s">
        <v>581</v>
      </c>
      <c r="B16" s="12"/>
      <c r="C16" s="90"/>
      <c r="D16" s="90"/>
      <c r="E16" s="90">
        <v>14.101838651089306</v>
      </c>
      <c r="F16" s="90">
        <v>15.289161494110528</v>
      </c>
      <c r="G16" s="90">
        <v>15.554</v>
      </c>
      <c r="H16" s="90">
        <v>11.829</v>
      </c>
      <c r="I16" s="340">
        <v>13.115333333333334</v>
      </c>
      <c r="J16" s="340">
        <v>12.832666666666666</v>
      </c>
      <c r="K16" s="340">
        <v>12.543666666666667</v>
      </c>
      <c r="L16" s="340">
        <v>12.271333333333335</v>
      </c>
      <c r="M16" s="340">
        <v>12.045666666666666</v>
      </c>
      <c r="N16" s="13">
        <v>11.818</v>
      </c>
      <c r="O16" s="13">
        <v>11.62698017961806</v>
      </c>
      <c r="P16" s="13">
        <v>11.397990213057941</v>
      </c>
      <c r="Q16" s="13">
        <v>11.172145778268707</v>
      </c>
      <c r="R16" s="13">
        <v>10.936875932791882</v>
      </c>
      <c r="S16" s="13">
        <v>10.68228700146733</v>
      </c>
      <c r="T16" s="13">
        <v>10.407246961450564</v>
      </c>
      <c r="U16" s="13">
        <v>10.110932258435035</v>
      </c>
      <c r="V16" s="13">
        <v>9.79735719554394</v>
      </c>
      <c r="W16" s="13">
        <v>9.468695768715373</v>
      </c>
      <c r="X16" s="13">
        <v>9.12631687562939</v>
      </c>
      <c r="Y16" s="13">
        <v>8.771761416243653</v>
      </c>
      <c r="Z16" s="13">
        <v>8.407481884615223</v>
      </c>
      <c r="AA16" s="13">
        <v>8.035297051804385</v>
      </c>
      <c r="AB16" s="13">
        <v>7.657332632828953</v>
      </c>
      <c r="AC16" s="13">
        <v>7.275106138998164</v>
      </c>
      <c r="AD16" s="13">
        <v>6.8901713115411365</v>
      </c>
      <c r="AE16" s="13">
        <v>6.504617403447732</v>
      </c>
      <c r="AF16" s="13">
        <v>6.1197196518137496</v>
      </c>
      <c r="AG16" s="13">
        <v>5.737522672660686</v>
      </c>
      <c r="AH16" s="13">
        <v>5.3596544586107004</v>
      </c>
      <c r="AI16" s="13">
        <v>4.988492863149606</v>
      </c>
      <c r="AJ16" s="13">
        <v>4.626471657627191</v>
      </c>
      <c r="AK16" s="13">
        <v>4.2753216792436115</v>
      </c>
      <c r="AL16" s="13">
        <v>3.9363448756774697</v>
      </c>
      <c r="AM16" s="13">
        <v>3.6105195234424254</v>
      </c>
      <c r="AN16" s="13">
        <v>3.2988215336429305</v>
      </c>
      <c r="AO16" s="13">
        <v>3.0020094784231497</v>
      </c>
      <c r="AP16" s="13">
        <v>2.720667114658017</v>
      </c>
      <c r="AQ16" s="13">
        <v>2.4552426431813856</v>
      </c>
      <c r="AR16" s="13">
        <v>2.206030865465225</v>
      </c>
      <c r="AS16" s="13">
        <v>1.973175486321506</v>
      </c>
      <c r="AT16" s="13">
        <v>1.556393366784766</v>
      </c>
      <c r="AU16" s="13">
        <v>1.3721058335514031</v>
      </c>
      <c r="AV16" s="13">
        <v>1.2034139831733048</v>
      </c>
      <c r="AW16" s="13">
        <v>1.0498273626254204</v>
      </c>
      <c r="AX16" s="13">
        <v>0.9107876006568241</v>
      </c>
    </row>
    <row r="17" spans="1:50" ht="12.75">
      <c r="A17" s="23" t="s">
        <v>444</v>
      </c>
      <c r="B17" s="12"/>
      <c r="C17" s="90"/>
      <c r="D17" s="90"/>
      <c r="E17" s="90">
        <v>3.5098800547468927</v>
      </c>
      <c r="F17" s="90">
        <v>3.596445442352078</v>
      </c>
      <c r="G17" s="90">
        <v>4.007666666666666</v>
      </c>
      <c r="H17" s="90">
        <v>3.574</v>
      </c>
      <c r="I17" s="340">
        <v>2.559333333333334</v>
      </c>
      <c r="J17" s="340">
        <v>2.5266666666666664</v>
      </c>
      <c r="K17" s="340">
        <v>2.481333333333333</v>
      </c>
      <c r="L17" s="340">
        <v>2.422</v>
      </c>
      <c r="M17" s="340">
        <v>2.3536666666666664</v>
      </c>
      <c r="N17" s="13">
        <v>2.278</v>
      </c>
      <c r="O17" s="13">
        <v>2.2956782403492433</v>
      </c>
      <c r="P17" s="13">
        <v>2.3009066189885155</v>
      </c>
      <c r="Q17" s="13">
        <v>2.3025534718110703</v>
      </c>
      <c r="R17" s="13">
        <v>2.291969535651596</v>
      </c>
      <c r="S17" s="13">
        <v>2.2779561266816426</v>
      </c>
      <c r="T17" s="13">
        <v>2.2604778468744513</v>
      </c>
      <c r="U17" s="13">
        <v>2.231458910217885</v>
      </c>
      <c r="V17" s="13">
        <v>2.2000330305431675</v>
      </c>
      <c r="W17" s="13">
        <v>2.157798537723526</v>
      </c>
      <c r="X17" s="13">
        <v>2.1136428579313042</v>
      </c>
      <c r="Y17" s="13">
        <v>2.059592716064304</v>
      </c>
      <c r="Z17" s="13">
        <v>2.0044246078288963</v>
      </c>
      <c r="AA17" s="13">
        <v>1.940399982882117</v>
      </c>
      <c r="AB17" s="13">
        <v>1.8759536976881948</v>
      </c>
      <c r="AC17" s="13">
        <v>1.8035821827873373</v>
      </c>
      <c r="AD17" s="13">
        <v>1.731536719843884</v>
      </c>
      <c r="AE17" s="13">
        <v>1.6526967908699075</v>
      </c>
      <c r="AF17" s="13">
        <v>1.574907874257157</v>
      </c>
      <c r="AG17" s="13">
        <v>1.491623567268612</v>
      </c>
      <c r="AH17" s="13">
        <v>1.4103325738391785</v>
      </c>
      <c r="AI17" s="13">
        <v>1.3252969410496371</v>
      </c>
      <c r="AJ17" s="13">
        <v>1.243337620921002</v>
      </c>
      <c r="AK17" s="13">
        <v>1.1590558178263968</v>
      </c>
      <c r="AL17" s="13">
        <v>1.0730325824073814</v>
      </c>
      <c r="AM17" s="13">
        <v>0.9910173089587211</v>
      </c>
      <c r="AN17" s="13">
        <v>0.9132523897386076</v>
      </c>
      <c r="AO17" s="13">
        <v>0.8354341886173988</v>
      </c>
      <c r="AP17" s="13">
        <v>0.7622506301469687</v>
      </c>
      <c r="AQ17" s="13">
        <v>0.68994224857338</v>
      </c>
      <c r="AR17" s="13">
        <v>0.6225059312586958</v>
      </c>
      <c r="AS17" s="13">
        <v>0.5566868821964494</v>
      </c>
      <c r="AT17" s="13">
        <v>0.4398480038018065</v>
      </c>
      <c r="AU17" s="13">
        <v>0.3862053717957167</v>
      </c>
      <c r="AV17" s="13">
        <v>0.3373060962827617</v>
      </c>
      <c r="AW17" s="13">
        <v>0.292984344265401</v>
      </c>
      <c r="AX17" s="13">
        <v>0.25304510916059403</v>
      </c>
    </row>
    <row r="18" spans="1:50" ht="12.75">
      <c r="A18" s="23" t="s">
        <v>445</v>
      </c>
      <c r="B18" s="12"/>
      <c r="C18" s="90"/>
      <c r="D18" s="90"/>
      <c r="E18" s="90">
        <f aca="true" t="shared" si="1" ref="E18:AX18">E16-E17</f>
        <v>10.591958596342414</v>
      </c>
      <c r="F18" s="90">
        <f t="shared" si="1"/>
        <v>11.69271605175845</v>
      </c>
      <c r="G18" s="90">
        <f t="shared" si="1"/>
        <v>11.546333333333333</v>
      </c>
      <c r="H18" s="90">
        <f t="shared" si="1"/>
        <v>8.255</v>
      </c>
      <c r="I18" s="340">
        <f t="shared" si="1"/>
        <v>10.556000000000001</v>
      </c>
      <c r="J18" s="340">
        <f t="shared" si="1"/>
        <v>10.306000000000001</v>
      </c>
      <c r="K18" s="340">
        <f t="shared" si="1"/>
        <v>10.062333333333333</v>
      </c>
      <c r="L18" s="340">
        <f t="shared" si="1"/>
        <v>9.849333333333334</v>
      </c>
      <c r="M18" s="340">
        <f t="shared" si="1"/>
        <v>9.692</v>
      </c>
      <c r="N18" s="13">
        <f t="shared" si="1"/>
        <v>9.54</v>
      </c>
      <c r="O18" s="13">
        <f t="shared" si="1"/>
        <v>9.331301939268817</v>
      </c>
      <c r="P18" s="13">
        <f t="shared" si="1"/>
        <v>9.097083594069426</v>
      </c>
      <c r="Q18" s="13">
        <f t="shared" si="1"/>
        <v>8.869592306457637</v>
      </c>
      <c r="R18" s="13">
        <f t="shared" si="1"/>
        <v>8.644906397140286</v>
      </c>
      <c r="S18" s="13">
        <f t="shared" si="1"/>
        <v>8.404330874785687</v>
      </c>
      <c r="T18" s="13">
        <f t="shared" si="1"/>
        <v>8.146769114576113</v>
      </c>
      <c r="U18" s="13">
        <f t="shared" si="1"/>
        <v>7.87947334821715</v>
      </c>
      <c r="V18" s="13">
        <f t="shared" si="1"/>
        <v>7.597324165000773</v>
      </c>
      <c r="W18" s="13">
        <f t="shared" si="1"/>
        <v>7.310897230991847</v>
      </c>
      <c r="X18" s="13">
        <f t="shared" si="1"/>
        <v>7.012674017698086</v>
      </c>
      <c r="Y18" s="13">
        <f t="shared" si="1"/>
        <v>6.712168700179348</v>
      </c>
      <c r="Z18" s="13">
        <f t="shared" si="1"/>
        <v>6.403057276786326</v>
      </c>
      <c r="AA18" s="13">
        <f t="shared" si="1"/>
        <v>6.0948970689222675</v>
      </c>
      <c r="AB18" s="13">
        <f t="shared" si="1"/>
        <v>5.781378935140758</v>
      </c>
      <c r="AC18" s="13">
        <f t="shared" si="1"/>
        <v>5.471523956210827</v>
      </c>
      <c r="AD18" s="13">
        <f t="shared" si="1"/>
        <v>5.158634591697252</v>
      </c>
      <c r="AE18" s="13">
        <f t="shared" si="1"/>
        <v>4.851920612577825</v>
      </c>
      <c r="AF18" s="13">
        <f t="shared" si="1"/>
        <v>4.544811777556593</v>
      </c>
      <c r="AG18" s="13">
        <f t="shared" si="1"/>
        <v>4.245899105392073</v>
      </c>
      <c r="AH18" s="13">
        <f t="shared" si="1"/>
        <v>3.949321884771522</v>
      </c>
      <c r="AI18" s="13">
        <f t="shared" si="1"/>
        <v>3.663195922099969</v>
      </c>
      <c r="AJ18" s="13">
        <f t="shared" si="1"/>
        <v>3.3831340367061893</v>
      </c>
      <c r="AK18" s="13">
        <f t="shared" si="1"/>
        <v>3.1162658614172147</v>
      </c>
      <c r="AL18" s="13">
        <f t="shared" si="1"/>
        <v>2.8633122932700883</v>
      </c>
      <c r="AM18" s="13">
        <f t="shared" si="1"/>
        <v>2.6195022144837043</v>
      </c>
      <c r="AN18" s="13">
        <f t="shared" si="1"/>
        <v>2.385569143904323</v>
      </c>
      <c r="AO18" s="13">
        <f t="shared" si="1"/>
        <v>2.166575289805751</v>
      </c>
      <c r="AP18" s="13">
        <f t="shared" si="1"/>
        <v>1.9584164845110483</v>
      </c>
      <c r="AQ18" s="13">
        <f t="shared" si="1"/>
        <v>1.7653003946080057</v>
      </c>
      <c r="AR18" s="13">
        <f t="shared" si="1"/>
        <v>1.5835249342065292</v>
      </c>
      <c r="AS18" s="13">
        <f t="shared" si="1"/>
        <v>1.4164886041250568</v>
      </c>
      <c r="AT18" s="13">
        <f t="shared" si="1"/>
        <v>1.1165453629829596</v>
      </c>
      <c r="AU18" s="13">
        <f t="shared" si="1"/>
        <v>0.9859004617556865</v>
      </c>
      <c r="AV18" s="13">
        <f t="shared" si="1"/>
        <v>0.8661078868905432</v>
      </c>
      <c r="AW18" s="13">
        <f t="shared" si="1"/>
        <v>0.7568430183600194</v>
      </c>
      <c r="AX18" s="13">
        <f t="shared" si="1"/>
        <v>0.65774249149623</v>
      </c>
    </row>
    <row r="19" spans="3:91" ht="12.75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</row>
    <row r="20" spans="1:91" ht="18.75">
      <c r="A20" s="24" t="s">
        <v>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</row>
    <row r="21" spans="1:91" ht="12.75">
      <c r="A21" s="29" t="s">
        <v>609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</row>
    <row r="22" spans="1:91" ht="12.75">
      <c r="A22" s="25"/>
      <c r="B22" s="26" t="s">
        <v>582</v>
      </c>
      <c r="C22" s="26" t="s">
        <v>583</v>
      </c>
      <c r="D22" s="26" t="s">
        <v>584</v>
      </c>
      <c r="E22" s="26" t="s">
        <v>525</v>
      </c>
      <c r="F22" s="26" t="s">
        <v>526</v>
      </c>
      <c r="G22" s="26" t="s">
        <v>527</v>
      </c>
      <c r="H22" s="26" t="s">
        <v>528</v>
      </c>
      <c r="I22" s="26" t="s">
        <v>529</v>
      </c>
      <c r="J22" s="26" t="s">
        <v>530</v>
      </c>
      <c r="K22" s="26" t="s">
        <v>531</v>
      </c>
      <c r="L22" s="26" t="s">
        <v>532</v>
      </c>
      <c r="M22" s="26" t="s">
        <v>533</v>
      </c>
      <c r="N22" s="26" t="s">
        <v>534</v>
      </c>
      <c r="O22" s="26" t="s">
        <v>535</v>
      </c>
      <c r="P22" s="26" t="s">
        <v>536</v>
      </c>
      <c r="Q22" s="26" t="s">
        <v>537</v>
      </c>
      <c r="R22" s="91" t="s">
        <v>538</v>
      </c>
      <c r="S22" s="91" t="s">
        <v>539</v>
      </c>
      <c r="T22" s="91" t="s">
        <v>540</v>
      </c>
      <c r="U22" s="91" t="s">
        <v>541</v>
      </c>
      <c r="V22" s="91" t="s">
        <v>542</v>
      </c>
      <c r="W22" s="26" t="s">
        <v>543</v>
      </c>
      <c r="X22" s="26" t="s">
        <v>544</v>
      </c>
      <c r="Y22" s="26" t="s">
        <v>545</v>
      </c>
      <c r="Z22" s="26" t="s">
        <v>546</v>
      </c>
      <c r="AA22" s="26" t="s">
        <v>547</v>
      </c>
      <c r="AB22" s="26" t="s">
        <v>548</v>
      </c>
      <c r="AC22" s="26" t="s">
        <v>549</v>
      </c>
      <c r="AD22" s="26" t="s">
        <v>550</v>
      </c>
      <c r="AE22" s="26" t="s">
        <v>551</v>
      </c>
      <c r="AF22" s="26" t="s">
        <v>552</v>
      </c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</row>
    <row r="23" spans="1:91" ht="12.75">
      <c r="A23" s="30" t="s">
        <v>610</v>
      </c>
      <c r="B23" s="31">
        <v>234.930854</v>
      </c>
      <c r="C23" s="31">
        <v>329.7121084</v>
      </c>
      <c r="D23" s="31">
        <v>392.97075079999996</v>
      </c>
      <c r="E23" s="31">
        <v>440.6046472</v>
      </c>
      <c r="F23" s="31">
        <v>553.3752092</v>
      </c>
      <c r="G23" s="31">
        <v>650.7866232</v>
      </c>
      <c r="H23" s="31">
        <v>613.314386</v>
      </c>
      <c r="I23" s="31">
        <v>727.6286264</v>
      </c>
      <c r="J23" s="31">
        <v>878.2989852</v>
      </c>
      <c r="K23" s="31">
        <v>976.7242871999999</v>
      </c>
      <c r="L23" s="31">
        <v>957.1783600000001</v>
      </c>
      <c r="M23" s="31">
        <v>1036.8515212000002</v>
      </c>
      <c r="N23" s="31">
        <v>994.4382788</v>
      </c>
      <c r="O23" s="31">
        <v>1115.9777736</v>
      </c>
      <c r="P23" s="31">
        <v>1205.9</v>
      </c>
      <c r="Q23" s="31">
        <v>1250</v>
      </c>
      <c r="R23" s="92">
        <v>1375.86452228</v>
      </c>
      <c r="S23" s="92">
        <v>1499.0355789999999</v>
      </c>
      <c r="T23" s="92">
        <v>1577.0370819999998</v>
      </c>
      <c r="U23" s="92">
        <v>1610.0894449999998</v>
      </c>
      <c r="V23" s="92">
        <v>1635.511423</v>
      </c>
      <c r="W23" s="75">
        <v>1707.3356882394967</v>
      </c>
      <c r="X23" s="75">
        <v>1762.2900290116195</v>
      </c>
      <c r="Y23" s="75">
        <v>1816.710684733917</v>
      </c>
      <c r="Z23" s="75">
        <v>1874.6899377254117</v>
      </c>
      <c r="AA23" s="75">
        <v>1936.0928394139116</v>
      </c>
      <c r="AB23" s="75">
        <v>2002.2816551165247</v>
      </c>
      <c r="AC23" s="75">
        <v>2068.4489560478423</v>
      </c>
      <c r="AD23" s="75">
        <v>2136.7644385153008</v>
      </c>
      <c r="AE23" s="75">
        <v>2211.145720046202</v>
      </c>
      <c r="AF23" s="75">
        <v>2290.616609573389</v>
      </c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</row>
    <row r="24" spans="1:91" ht="12.75">
      <c r="A24" s="30" t="s">
        <v>216</v>
      </c>
      <c r="B24" s="31">
        <v>13.2096</v>
      </c>
      <c r="C24" s="31">
        <v>27.69455</v>
      </c>
      <c r="D24" s="31">
        <v>50.6796</v>
      </c>
      <c r="E24" s="31">
        <v>79.63315</v>
      </c>
      <c r="F24" s="31">
        <v>108.05420000000001</v>
      </c>
      <c r="G24" s="31">
        <v>137.52835</v>
      </c>
      <c r="H24" s="31">
        <v>160.6466</v>
      </c>
      <c r="I24" s="31">
        <v>125.3184</v>
      </c>
      <c r="J24" s="31">
        <v>111.47444999999999</v>
      </c>
      <c r="K24" s="31">
        <v>146.05984999999998</v>
      </c>
      <c r="L24" s="31">
        <v>169.0661</v>
      </c>
      <c r="M24" s="31">
        <v>184.91519999999997</v>
      </c>
      <c r="N24" s="31">
        <v>213.93615</v>
      </c>
      <c r="O24" s="31">
        <v>152.631281</v>
      </c>
      <c r="P24" s="31">
        <v>94.7</v>
      </c>
      <c r="Q24" s="31">
        <v>93.8814356596517</v>
      </c>
      <c r="R24" s="92">
        <v>130.8228547780129</v>
      </c>
      <c r="S24" s="92">
        <v>156.2238775005332</v>
      </c>
      <c r="T24" s="92">
        <v>179.49726297093167</v>
      </c>
      <c r="U24" s="92">
        <v>203.4234533497554</v>
      </c>
      <c r="V24" s="92">
        <v>228.68864061903955</v>
      </c>
      <c r="W24" s="75">
        <v>250.57742641077613</v>
      </c>
      <c r="X24" s="75">
        <v>272.5679891974531</v>
      </c>
      <c r="Y24" s="75">
        <v>293.8688371952926</v>
      </c>
      <c r="Z24" s="75">
        <v>315.49496505501367</v>
      </c>
      <c r="AA24" s="75">
        <v>336.0925774091096</v>
      </c>
      <c r="AB24" s="75">
        <v>357.5794733982218</v>
      </c>
      <c r="AC24" s="75">
        <v>377.86917956368563</v>
      </c>
      <c r="AD24" s="75">
        <v>398.97305351321586</v>
      </c>
      <c r="AE24" s="75">
        <v>419.4480386059175</v>
      </c>
      <c r="AF24" s="75">
        <v>442.1866267343195</v>
      </c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</row>
    <row r="25" spans="1:91" ht="12.75">
      <c r="A25" s="30" t="s">
        <v>611</v>
      </c>
      <c r="B25" s="31">
        <v>9.942350000000001</v>
      </c>
      <c r="C25" s="31">
        <v>25.7953</v>
      </c>
      <c r="D25" s="31">
        <v>48.683350000000004</v>
      </c>
      <c r="E25" s="31">
        <v>80.3827</v>
      </c>
      <c r="F25" s="31">
        <v>114.63715</v>
      </c>
      <c r="G25" s="31">
        <v>151.113</v>
      </c>
      <c r="H25" s="31">
        <v>197.85424999999998</v>
      </c>
      <c r="I25" s="31">
        <v>255.59525</v>
      </c>
      <c r="J25" s="31">
        <v>317.153</v>
      </c>
      <c r="K25" s="31">
        <v>383.65369999999996</v>
      </c>
      <c r="L25" s="31">
        <v>464.281</v>
      </c>
      <c r="M25" s="31">
        <v>532.72115</v>
      </c>
      <c r="N25" s="31">
        <v>620.6212</v>
      </c>
      <c r="O25" s="31">
        <v>649.325484</v>
      </c>
      <c r="P25" s="31">
        <v>553.4</v>
      </c>
      <c r="Q25" s="31">
        <v>610.714651</v>
      </c>
      <c r="R25" s="92">
        <v>717.485294228889</v>
      </c>
      <c r="S25" s="92">
        <v>794.2671650752021</v>
      </c>
      <c r="T25" s="92">
        <v>870.5972589515919</v>
      </c>
      <c r="U25" s="92">
        <v>944.5480413498955</v>
      </c>
      <c r="V25" s="92">
        <v>1013.874434105218</v>
      </c>
      <c r="W25" s="75">
        <v>1093.8208397031703</v>
      </c>
      <c r="X25" s="75">
        <v>1175.6241773134059</v>
      </c>
      <c r="Y25" s="75">
        <v>1253.3715278027107</v>
      </c>
      <c r="Z25" s="75">
        <v>1327.5906839633465</v>
      </c>
      <c r="AA25" s="75">
        <v>1400.1894168408792</v>
      </c>
      <c r="AB25" s="75">
        <v>1470.7911679238823</v>
      </c>
      <c r="AC25" s="75">
        <v>1539.632800408058</v>
      </c>
      <c r="AD25" s="75">
        <v>1605.2970282872996</v>
      </c>
      <c r="AE25" s="75">
        <v>1667.8397322495355</v>
      </c>
      <c r="AF25" s="75">
        <v>1733.1380823918905</v>
      </c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</row>
    <row r="26" spans="1:91" ht="12.75">
      <c r="A26" s="30" t="s">
        <v>612</v>
      </c>
      <c r="B26" s="31">
        <v>0.1318</v>
      </c>
      <c r="C26" s="31">
        <v>0.25755</v>
      </c>
      <c r="D26" s="31">
        <v>0.5789</v>
      </c>
      <c r="E26" s="31">
        <v>1.4560999999999997</v>
      </c>
      <c r="F26" s="31">
        <v>1.4548</v>
      </c>
      <c r="G26" s="31">
        <v>0.6648499999999999</v>
      </c>
      <c r="H26" s="31">
        <v>2.4987999999999997</v>
      </c>
      <c r="I26" s="31">
        <v>4.32535</v>
      </c>
      <c r="J26" s="31">
        <v>2.70875</v>
      </c>
      <c r="K26" s="31">
        <v>6.5158</v>
      </c>
      <c r="L26" s="31">
        <v>7.2706</v>
      </c>
      <c r="M26" s="31">
        <v>5.247600000000002</v>
      </c>
      <c r="N26" s="31">
        <v>7.194749999999999</v>
      </c>
      <c r="O26" s="31">
        <v>10.475100000000005</v>
      </c>
      <c r="P26" s="31">
        <v>20.1</v>
      </c>
      <c r="Q26" s="31">
        <v>30.177292132711504</v>
      </c>
      <c r="R26" s="92">
        <v>78.33419343379597</v>
      </c>
      <c r="S26" s="92">
        <v>42.68306672572287</v>
      </c>
      <c r="T26" s="92">
        <v>52.277850064461894</v>
      </c>
      <c r="U26" s="92">
        <v>58.176356283624564</v>
      </c>
      <c r="V26" s="92">
        <v>64.64487105340007</v>
      </c>
      <c r="W26" s="75">
        <v>71.3520987846612</v>
      </c>
      <c r="X26" s="75">
        <v>78.2907178526628</v>
      </c>
      <c r="Y26" s="75">
        <v>82.78011276401398</v>
      </c>
      <c r="Z26" s="75">
        <v>89.307851602363</v>
      </c>
      <c r="AA26" s="75">
        <v>95.32128293536466</v>
      </c>
      <c r="AB26" s="75">
        <v>103.92055557961386</v>
      </c>
      <c r="AC26" s="75">
        <v>112.64133188552422</v>
      </c>
      <c r="AD26" s="75">
        <v>121.89007645988043</v>
      </c>
      <c r="AE26" s="75">
        <v>131.2363962505426</v>
      </c>
      <c r="AF26" s="75">
        <v>142.1247906058284</v>
      </c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</row>
    <row r="27" spans="1:91" ht="12.75">
      <c r="A27" s="32" t="s">
        <v>613</v>
      </c>
      <c r="B27" s="31">
        <v>359.7547868</v>
      </c>
      <c r="C27" s="31">
        <v>691.1085952</v>
      </c>
      <c r="D27" s="31">
        <v>1085.496696</v>
      </c>
      <c r="E27" s="31">
        <v>1523.8956931999999</v>
      </c>
      <c r="F27" s="31">
        <v>2069.2331523999997</v>
      </c>
      <c r="G27" s="31">
        <v>2705.7702756</v>
      </c>
      <c r="H27" s="31">
        <v>3279.3782116</v>
      </c>
      <c r="I27" s="31">
        <v>3872.4046380000004</v>
      </c>
      <c r="J27" s="31">
        <v>4542.3163232</v>
      </c>
      <c r="K27" s="31">
        <v>5274.9</v>
      </c>
      <c r="L27" s="31">
        <v>6094.2</v>
      </c>
      <c r="M27" s="31">
        <v>6820.6</v>
      </c>
      <c r="N27" s="31">
        <v>7499.1</v>
      </c>
      <c r="O27" s="31">
        <v>8370</v>
      </c>
      <c r="P27" s="31">
        <v>9412.697902</v>
      </c>
      <c r="Q27" s="31">
        <v>10115.68739452694</v>
      </c>
      <c r="R27" s="92">
        <v>10284.067889395328</v>
      </c>
      <c r="S27" s="92">
        <v>11102.377114094936</v>
      </c>
      <c r="T27" s="92">
        <v>11936.036350049813</v>
      </c>
      <c r="U27" s="92">
        <v>12746.82485076605</v>
      </c>
      <c r="V27" s="92">
        <v>13532.50560922647</v>
      </c>
      <c r="W27" s="75">
        <v>14325.245785388912</v>
      </c>
      <c r="X27" s="75">
        <v>15106.188908431915</v>
      </c>
      <c r="Y27" s="75">
        <v>15880.6167897944</v>
      </c>
      <c r="Z27" s="75">
        <v>16653.903157009117</v>
      </c>
      <c r="AA27" s="75">
        <v>17430.5778740559</v>
      </c>
      <c r="AB27" s="75">
        <v>18215.72727906715</v>
      </c>
      <c r="AC27" s="75">
        <v>19009.771282385096</v>
      </c>
      <c r="AD27" s="75">
        <v>19818.32166966643</v>
      </c>
      <c r="AE27" s="75">
        <v>20649.839299818475</v>
      </c>
      <c r="AF27" s="75">
        <v>21507.379663128468</v>
      </c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</row>
    <row r="28" spans="1:91" ht="12.75">
      <c r="A28" t="s">
        <v>456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66"/>
      <c r="M28" s="66"/>
      <c r="N28" s="66"/>
      <c r="O28" s="66"/>
      <c r="P28" s="66"/>
      <c r="Q28" s="66"/>
      <c r="R28" s="66"/>
      <c r="S28" s="66" t="str">
        <f aca="true" t="shared" si="2" ref="S28:AF28">IF(ROUND((R27+S23+S24-S25-S26)-S27,1)=0,"OK","ERROR")</f>
        <v>OK</v>
      </c>
      <c r="T28" s="66" t="str">
        <f t="shared" si="2"/>
        <v>OK</v>
      </c>
      <c r="U28" s="66" t="str">
        <f t="shared" si="2"/>
        <v>OK</v>
      </c>
      <c r="V28" s="66" t="str">
        <f t="shared" si="2"/>
        <v>OK</v>
      </c>
      <c r="W28" s="66" t="str">
        <f t="shared" si="2"/>
        <v>OK</v>
      </c>
      <c r="X28" s="66" t="str">
        <f t="shared" si="2"/>
        <v>OK</v>
      </c>
      <c r="Y28" s="66" t="str">
        <f t="shared" si="2"/>
        <v>OK</v>
      </c>
      <c r="Z28" s="66" t="str">
        <f t="shared" si="2"/>
        <v>OK</v>
      </c>
      <c r="AA28" s="66" t="str">
        <f t="shared" si="2"/>
        <v>OK</v>
      </c>
      <c r="AB28" s="66" t="str">
        <f t="shared" si="2"/>
        <v>OK</v>
      </c>
      <c r="AC28" s="66" t="str">
        <f t="shared" si="2"/>
        <v>OK</v>
      </c>
      <c r="AD28" s="66" t="str">
        <f t="shared" si="2"/>
        <v>OK</v>
      </c>
      <c r="AE28" s="66" t="str">
        <f t="shared" si="2"/>
        <v>OK</v>
      </c>
      <c r="AF28" s="66" t="str">
        <f t="shared" si="2"/>
        <v>OK</v>
      </c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</row>
    <row r="29" spans="3:91" ht="12.75">
      <c r="C29" s="67"/>
      <c r="D29" s="67"/>
      <c r="E29" s="67"/>
      <c r="F29" s="67"/>
      <c r="G29" s="67"/>
      <c r="H29" s="67"/>
      <c r="I29" s="67"/>
      <c r="J29" s="109"/>
      <c r="K29" s="109"/>
      <c r="L29" s="109"/>
      <c r="M29" s="109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</row>
    <row r="30" spans="1:91" ht="18.75">
      <c r="A30" s="58" t="s">
        <v>470</v>
      </c>
      <c r="B30" s="58"/>
      <c r="C30" s="59"/>
      <c r="D30" s="59"/>
      <c r="E30" s="104"/>
      <c r="F30" s="104"/>
      <c r="G30" s="104"/>
      <c r="H30" s="109"/>
      <c r="I30" s="109"/>
      <c r="J30" s="109"/>
      <c r="K30" s="109"/>
      <c r="L30" s="109"/>
      <c r="M30" s="109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</row>
    <row r="31" spans="1:91" ht="15.75">
      <c r="A31" s="233" t="s">
        <v>471</v>
      </c>
      <c r="B31" s="121"/>
      <c r="C31" s="59"/>
      <c r="D31" s="59"/>
      <c r="E31" s="121"/>
      <c r="F31" s="104"/>
      <c r="G31" s="104"/>
      <c r="H31" s="109"/>
      <c r="I31" s="109"/>
      <c r="J31" s="109"/>
      <c r="K31" s="109"/>
      <c r="L31" s="109"/>
      <c r="M31" s="109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P31" s="241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</row>
    <row r="32" spans="1:91" ht="12.75">
      <c r="A32" s="60"/>
      <c r="B32" s="121" t="s">
        <v>238</v>
      </c>
      <c r="C32" s="59"/>
      <c r="D32" s="59"/>
      <c r="E32" s="121" t="s">
        <v>239</v>
      </c>
      <c r="F32" s="104"/>
      <c r="G32" s="104"/>
      <c r="H32" s="109"/>
      <c r="I32" s="109"/>
      <c r="J32" s="109"/>
      <c r="K32" s="109"/>
      <c r="L32" s="109"/>
      <c r="M32" s="109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P32" s="241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</row>
    <row r="33" spans="1:73" ht="12.75">
      <c r="A33" s="123" t="s">
        <v>232</v>
      </c>
      <c r="B33" s="103" t="s">
        <v>135</v>
      </c>
      <c r="C33" s="103" t="s">
        <v>136</v>
      </c>
      <c r="D33" s="59"/>
      <c r="E33" s="103" t="s">
        <v>135</v>
      </c>
      <c r="F33" s="103" t="s">
        <v>136</v>
      </c>
      <c r="G33" s="104"/>
      <c r="H33" s="109"/>
      <c r="I33" s="109"/>
      <c r="J33" s="109"/>
      <c r="K33" s="109"/>
      <c r="L33" s="109"/>
      <c r="M33" s="109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</row>
    <row r="34" spans="1:73" ht="12.75">
      <c r="A34" s="123" t="s">
        <v>295</v>
      </c>
      <c r="B34" s="117">
        <v>226</v>
      </c>
      <c r="C34" s="117">
        <v>207</v>
      </c>
      <c r="D34" s="59"/>
      <c r="E34" s="117">
        <v>119</v>
      </c>
      <c r="F34" s="117">
        <v>127</v>
      </c>
      <c r="G34" s="104"/>
      <c r="H34" s="109"/>
      <c r="I34" s="109"/>
      <c r="J34" s="109"/>
      <c r="K34" s="109"/>
      <c r="L34" s="109"/>
      <c r="M34" s="109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</row>
    <row r="35" spans="1:73" ht="12.75">
      <c r="A35" s="123" t="s">
        <v>296</v>
      </c>
      <c r="B35" s="117">
        <v>294</v>
      </c>
      <c r="C35" s="117">
        <v>217</v>
      </c>
      <c r="D35" s="59"/>
      <c r="E35" s="117">
        <v>110</v>
      </c>
      <c r="F35" s="117">
        <v>110</v>
      </c>
      <c r="G35" s="104"/>
      <c r="H35" s="109"/>
      <c r="I35" s="109"/>
      <c r="J35" s="109"/>
      <c r="K35" s="109"/>
      <c r="L35" s="109"/>
      <c r="M35" s="109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</row>
    <row r="36" spans="1:73" ht="12.75">
      <c r="A36" s="123" t="s">
        <v>297</v>
      </c>
      <c r="B36" s="117">
        <v>355</v>
      </c>
      <c r="C36" s="117">
        <v>283</v>
      </c>
      <c r="D36" s="59"/>
      <c r="E36" s="117">
        <v>264</v>
      </c>
      <c r="F36" s="117">
        <v>251</v>
      </c>
      <c r="G36" s="104"/>
      <c r="H36" s="109"/>
      <c r="I36" s="109"/>
      <c r="J36" s="109"/>
      <c r="K36" s="109"/>
      <c r="L36" s="109"/>
      <c r="M36" s="109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</row>
    <row r="37" spans="1:73" ht="12.75">
      <c r="A37" s="123" t="s">
        <v>298</v>
      </c>
      <c r="B37" s="117">
        <v>296</v>
      </c>
      <c r="C37" s="117">
        <v>271</v>
      </c>
      <c r="D37" s="59"/>
      <c r="E37" s="117">
        <v>422</v>
      </c>
      <c r="F37" s="117">
        <v>531</v>
      </c>
      <c r="G37" s="104"/>
      <c r="H37" s="109"/>
      <c r="I37" s="109"/>
      <c r="J37" s="109"/>
      <c r="K37" s="109"/>
      <c r="L37" s="109"/>
      <c r="M37" s="109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</row>
    <row r="38" spans="1:73" ht="12.75">
      <c r="A38" s="123" t="s">
        <v>233</v>
      </c>
      <c r="B38" s="117">
        <v>468</v>
      </c>
      <c r="C38" s="117">
        <v>807</v>
      </c>
      <c r="D38" s="59"/>
      <c r="E38" s="117">
        <v>447</v>
      </c>
      <c r="F38" s="117">
        <v>1089</v>
      </c>
      <c r="G38" s="104"/>
      <c r="H38" s="109"/>
      <c r="I38" s="109"/>
      <c r="J38" s="109"/>
      <c r="K38" s="109"/>
      <c r="L38" s="109"/>
      <c r="M38" s="109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</row>
    <row r="39" spans="1:73" ht="12.75">
      <c r="A39" s="123" t="s">
        <v>234</v>
      </c>
      <c r="B39" s="117">
        <v>751</v>
      </c>
      <c r="C39" s="117">
        <v>1272</v>
      </c>
      <c r="D39" s="59"/>
      <c r="E39" s="117">
        <v>662</v>
      </c>
      <c r="F39" s="117">
        <v>1015</v>
      </c>
      <c r="G39" s="104"/>
      <c r="H39" s="109"/>
      <c r="I39" s="109"/>
      <c r="J39" s="109"/>
      <c r="K39" s="109"/>
      <c r="L39" s="109"/>
      <c r="M39" s="109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</row>
    <row r="40" spans="1:73" ht="12.75">
      <c r="A40" s="123" t="s">
        <v>235</v>
      </c>
      <c r="B40" s="117">
        <v>3475</v>
      </c>
      <c r="C40" s="117">
        <v>5103</v>
      </c>
      <c r="D40" s="59"/>
      <c r="E40" s="117">
        <v>441</v>
      </c>
      <c r="F40" s="117">
        <v>230</v>
      </c>
      <c r="G40" s="104"/>
      <c r="H40" s="109"/>
      <c r="I40" s="109"/>
      <c r="J40" s="109"/>
      <c r="K40" s="109"/>
      <c r="L40" s="109"/>
      <c r="M40" s="109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</row>
    <row r="41" spans="1:73" ht="12.75">
      <c r="A41" s="123" t="s">
        <v>236</v>
      </c>
      <c r="B41" s="117">
        <v>1243</v>
      </c>
      <c r="C41" s="117">
        <v>1949</v>
      </c>
      <c r="D41" s="59"/>
      <c r="E41" s="117">
        <v>444</v>
      </c>
      <c r="F41" s="117">
        <v>522</v>
      </c>
      <c r="G41" s="104"/>
      <c r="H41" s="109"/>
      <c r="I41" s="109"/>
      <c r="J41" s="109"/>
      <c r="K41" s="109"/>
      <c r="L41" s="109"/>
      <c r="M41" s="109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</row>
    <row r="42" spans="1:73" ht="12.75">
      <c r="A42" s="123" t="s">
        <v>307</v>
      </c>
      <c r="B42" s="117">
        <v>1339</v>
      </c>
      <c r="C42" s="117">
        <v>2460</v>
      </c>
      <c r="D42" s="59"/>
      <c r="E42" s="117">
        <v>372</v>
      </c>
      <c r="F42" s="117">
        <v>420</v>
      </c>
      <c r="G42" s="104"/>
      <c r="H42" s="109"/>
      <c r="I42" s="109"/>
      <c r="J42" s="109"/>
      <c r="K42" s="109"/>
      <c r="L42" s="109"/>
      <c r="M42" s="109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</row>
    <row r="43" spans="1:73" ht="12.75">
      <c r="A43" s="123" t="s">
        <v>237</v>
      </c>
      <c r="B43" s="117">
        <v>610</v>
      </c>
      <c r="C43" s="117">
        <v>884</v>
      </c>
      <c r="D43" s="59"/>
      <c r="E43" s="117">
        <v>530</v>
      </c>
      <c r="F43" s="117">
        <v>472</v>
      </c>
      <c r="G43" s="104"/>
      <c r="H43" s="109"/>
      <c r="I43" s="109"/>
      <c r="J43" s="109"/>
      <c r="K43" s="109"/>
      <c r="L43" s="109"/>
      <c r="M43" s="109"/>
      <c r="N43" s="241"/>
      <c r="O43" s="241"/>
      <c r="P43" s="241"/>
      <c r="Q43" s="241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</row>
    <row r="44" spans="1:73" ht="13.5" thickBot="1">
      <c r="A44" s="122" t="s">
        <v>312</v>
      </c>
      <c r="B44" s="124">
        <f>SUM(B34:B43)</f>
        <v>9057</v>
      </c>
      <c r="C44" s="124">
        <f>SUM(C34:C43)</f>
        <v>13453</v>
      </c>
      <c r="D44" s="124"/>
      <c r="E44" s="124">
        <f>SUM(E34:E43)</f>
        <v>3811</v>
      </c>
      <c r="F44" s="124">
        <f>SUM(F34:F43)</f>
        <v>4767</v>
      </c>
      <c r="G44" s="104"/>
      <c r="H44" s="109"/>
      <c r="I44" s="109"/>
      <c r="J44" s="109"/>
      <c r="K44" s="109"/>
      <c r="L44" s="109"/>
      <c r="M44" s="109"/>
      <c r="N44" s="241"/>
      <c r="O44" s="241"/>
      <c r="P44" s="241"/>
      <c r="Q44" s="241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</row>
    <row r="45" spans="3:74" ht="12.75">
      <c r="C45" s="67"/>
      <c r="D45" s="67"/>
      <c r="E45" s="108"/>
      <c r="F45" s="108"/>
      <c r="G45" s="108"/>
      <c r="H45" s="109"/>
      <c r="I45" s="109"/>
      <c r="J45" s="109"/>
      <c r="K45" s="109"/>
      <c r="L45" s="109"/>
      <c r="M45" s="109"/>
      <c r="N45" s="241"/>
      <c r="O45" s="241"/>
      <c r="P45" s="241"/>
      <c r="Q45" s="241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67"/>
    </row>
    <row r="46" spans="11:17" ht="12.75">
      <c r="K46" s="108"/>
      <c r="L46" s="109"/>
      <c r="M46" s="109"/>
      <c r="N46" s="241"/>
      <c r="O46" s="241"/>
      <c r="P46" s="241"/>
      <c r="Q46" s="241"/>
    </row>
    <row r="47" spans="1:16" ht="15.75">
      <c r="A47" s="35" t="s">
        <v>186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41"/>
      <c r="O47" s="241"/>
      <c r="P47" s="241"/>
    </row>
    <row r="48" spans="1:16" ht="13.5" thickBot="1">
      <c r="A48" s="77" t="s">
        <v>314</v>
      </c>
      <c r="B48" s="79" t="s">
        <v>313</v>
      </c>
      <c r="C48" s="81"/>
      <c r="D48" s="79" t="s">
        <v>231</v>
      </c>
      <c r="E48" s="78"/>
      <c r="F48" s="79" t="s">
        <v>316</v>
      </c>
      <c r="G48" s="81"/>
      <c r="H48" s="79" t="s">
        <v>317</v>
      </c>
      <c r="I48" s="81"/>
      <c r="J48" s="79" t="s">
        <v>230</v>
      </c>
      <c r="K48" s="81"/>
      <c r="L48" s="79" t="s">
        <v>318</v>
      </c>
      <c r="M48" s="81"/>
      <c r="N48" s="241"/>
      <c r="O48" s="241"/>
      <c r="P48" s="241"/>
    </row>
    <row r="49" spans="1:16" ht="13.5" thickBot="1">
      <c r="A49" s="76" t="s">
        <v>315</v>
      </c>
      <c r="B49" s="80" t="s">
        <v>135</v>
      </c>
      <c r="C49" s="81" t="s">
        <v>136</v>
      </c>
      <c r="D49" s="80" t="s">
        <v>135</v>
      </c>
      <c r="E49" s="81" t="s">
        <v>136</v>
      </c>
      <c r="F49" s="80" t="s">
        <v>135</v>
      </c>
      <c r="G49" s="81" t="s">
        <v>136</v>
      </c>
      <c r="H49" s="80" t="s">
        <v>135</v>
      </c>
      <c r="I49" s="81" t="s">
        <v>136</v>
      </c>
      <c r="J49" s="80" t="s">
        <v>135</v>
      </c>
      <c r="K49" s="81" t="s">
        <v>136</v>
      </c>
      <c r="L49" s="80" t="s">
        <v>135</v>
      </c>
      <c r="M49" s="81" t="s">
        <v>136</v>
      </c>
      <c r="N49" s="241"/>
      <c r="O49" s="241"/>
      <c r="P49" s="241"/>
    </row>
    <row r="50" spans="1:23" ht="12.75">
      <c r="A50" s="82" t="s">
        <v>295</v>
      </c>
      <c r="B50" s="84">
        <v>1890.0413222232678</v>
      </c>
      <c r="C50" s="84">
        <v>2231.7786403029104</v>
      </c>
      <c r="D50" s="84">
        <v>0</v>
      </c>
      <c r="E50" s="84">
        <v>0</v>
      </c>
      <c r="F50" s="84">
        <v>99.59783171402644</v>
      </c>
      <c r="G50" s="84">
        <v>99.60325422812052</v>
      </c>
      <c r="H50" s="84">
        <v>72.16400601431464</v>
      </c>
      <c r="I50" s="84">
        <v>72.16400601431464</v>
      </c>
      <c r="J50" s="84">
        <v>195.72437023167495</v>
      </c>
      <c r="K50" s="84">
        <v>195.72437023167495</v>
      </c>
      <c r="L50" s="84">
        <f aca="true" t="shared" si="3" ref="L50:M67">SUM(B50,D50,F50,H50,J50)</f>
        <v>2257.527530183284</v>
      </c>
      <c r="M50" s="84">
        <f t="shared" si="3"/>
        <v>2599.2702707770204</v>
      </c>
      <c r="N50" s="241"/>
      <c r="O50" s="241"/>
      <c r="P50" s="241"/>
      <c r="Q50" s="51"/>
      <c r="R50" s="51"/>
      <c r="S50" s="51"/>
      <c r="T50" s="57"/>
      <c r="U50" s="51"/>
      <c r="V50" s="51"/>
      <c r="W50" s="51"/>
    </row>
    <row r="51" spans="1:23" ht="12.75">
      <c r="A51" s="82" t="s">
        <v>296</v>
      </c>
      <c r="B51" s="84">
        <v>466.71477102943925</v>
      </c>
      <c r="C51" s="84">
        <v>547.929849983577</v>
      </c>
      <c r="D51" s="84">
        <v>0</v>
      </c>
      <c r="E51" s="84">
        <v>0</v>
      </c>
      <c r="F51" s="84">
        <v>96.57205727481497</v>
      </c>
      <c r="G51" s="84">
        <v>96.61037177003573</v>
      </c>
      <c r="H51" s="84">
        <v>72.16400601431462</v>
      </c>
      <c r="I51" s="84">
        <v>72.16400601431464</v>
      </c>
      <c r="J51" s="84">
        <v>195.72437023167498</v>
      </c>
      <c r="K51" s="84">
        <v>195.72437023167507</v>
      </c>
      <c r="L51" s="84">
        <f t="shared" si="3"/>
        <v>831.1752045502437</v>
      </c>
      <c r="M51" s="84">
        <f t="shared" si="3"/>
        <v>912.4285979996024</v>
      </c>
      <c r="N51" s="241"/>
      <c r="O51" s="241"/>
      <c r="P51" s="241"/>
      <c r="Q51" s="51"/>
      <c r="R51" s="51"/>
      <c r="S51" s="51"/>
      <c r="T51" s="57"/>
      <c r="U51" s="51"/>
      <c r="V51" s="51"/>
      <c r="W51" s="51"/>
    </row>
    <row r="52" spans="1:23" ht="12.75">
      <c r="A52" s="82" t="s">
        <v>297</v>
      </c>
      <c r="B52" s="84">
        <v>435.6429093074215</v>
      </c>
      <c r="C52" s="84">
        <v>488.0775732029507</v>
      </c>
      <c r="D52" s="84">
        <v>0</v>
      </c>
      <c r="E52" s="84">
        <v>0</v>
      </c>
      <c r="F52" s="84">
        <v>94.33574188235164</v>
      </c>
      <c r="G52" s="84">
        <v>94.55011056614657</v>
      </c>
      <c r="H52" s="84">
        <v>72.16400601431461</v>
      </c>
      <c r="I52" s="84">
        <v>72.16400601431464</v>
      </c>
      <c r="J52" s="84">
        <v>195.72437023167498</v>
      </c>
      <c r="K52" s="84">
        <v>195.72437023167498</v>
      </c>
      <c r="L52" s="84">
        <f t="shared" si="3"/>
        <v>797.8670274357628</v>
      </c>
      <c r="M52" s="84">
        <f t="shared" si="3"/>
        <v>850.5160600150869</v>
      </c>
      <c r="N52" s="241"/>
      <c r="O52" s="241"/>
      <c r="P52" s="241"/>
      <c r="Q52" s="51"/>
      <c r="R52" s="51"/>
      <c r="S52" s="51"/>
      <c r="T52" s="57"/>
      <c r="U52" s="51"/>
      <c r="V52" s="51"/>
      <c r="W52" s="51"/>
    </row>
    <row r="53" spans="1:23" ht="12.75">
      <c r="A53" s="82" t="s">
        <v>298</v>
      </c>
      <c r="B53" s="84">
        <v>718.7461877975354</v>
      </c>
      <c r="C53" s="84">
        <v>581.2941515986302</v>
      </c>
      <c r="D53" s="84">
        <v>0</v>
      </c>
      <c r="E53" s="84">
        <v>0</v>
      </c>
      <c r="F53" s="84">
        <v>295.6065989581825</v>
      </c>
      <c r="G53" s="84">
        <v>292.638171487672</v>
      </c>
      <c r="H53" s="84">
        <v>72.16400601431464</v>
      </c>
      <c r="I53" s="84">
        <v>72.16400601431464</v>
      </c>
      <c r="J53" s="84">
        <v>195.724370231675</v>
      </c>
      <c r="K53" s="84">
        <v>195.72437023167504</v>
      </c>
      <c r="L53" s="84">
        <f t="shared" si="3"/>
        <v>1282.2411630017077</v>
      </c>
      <c r="M53" s="84">
        <f t="shared" si="3"/>
        <v>1141.820699332292</v>
      </c>
      <c r="N53" s="241"/>
      <c r="O53" s="241"/>
      <c r="P53" s="241"/>
      <c r="Q53" s="51"/>
      <c r="R53" s="51"/>
      <c r="S53" s="51"/>
      <c r="T53" s="57"/>
      <c r="U53" s="51"/>
      <c r="V53" s="51"/>
      <c r="W53" s="51"/>
    </row>
    <row r="54" spans="1:23" ht="12.75">
      <c r="A54" s="82" t="s">
        <v>299</v>
      </c>
      <c r="B54" s="84">
        <v>1037.7640029471736</v>
      </c>
      <c r="C54" s="84">
        <v>594.1995334861285</v>
      </c>
      <c r="D54" s="84">
        <v>0</v>
      </c>
      <c r="E54" s="84">
        <v>0</v>
      </c>
      <c r="F54" s="84">
        <v>260.56737975304395</v>
      </c>
      <c r="G54" s="84">
        <v>256.79018813005666</v>
      </c>
      <c r="H54" s="84">
        <v>72.16400601431462</v>
      </c>
      <c r="I54" s="84">
        <v>72.16400601431462</v>
      </c>
      <c r="J54" s="84">
        <v>195.724370231675</v>
      </c>
      <c r="K54" s="84">
        <v>195.72437023167495</v>
      </c>
      <c r="L54" s="84">
        <f t="shared" si="3"/>
        <v>1566.219758946207</v>
      </c>
      <c r="M54" s="84">
        <f t="shared" si="3"/>
        <v>1118.8780978621749</v>
      </c>
      <c r="N54" s="241"/>
      <c r="O54" s="241"/>
      <c r="P54" s="241"/>
      <c r="Q54" s="51"/>
      <c r="R54" s="51"/>
      <c r="S54" s="51"/>
      <c r="T54" s="57"/>
      <c r="U54" s="51"/>
      <c r="V54" s="51"/>
      <c r="W54" s="51"/>
    </row>
    <row r="55" spans="1:23" ht="12.75">
      <c r="A55" s="82" t="s">
        <v>300</v>
      </c>
      <c r="B55" s="84">
        <v>1290.5630224691186</v>
      </c>
      <c r="C55" s="84">
        <v>631.0668404359083</v>
      </c>
      <c r="D55" s="84">
        <v>0</v>
      </c>
      <c r="E55" s="84">
        <v>0</v>
      </c>
      <c r="F55" s="84">
        <v>256.3455933760719</v>
      </c>
      <c r="G55" s="84">
        <v>255.7477200468607</v>
      </c>
      <c r="H55" s="84">
        <v>72.16400601431462</v>
      </c>
      <c r="I55" s="84">
        <v>72.16400601431462</v>
      </c>
      <c r="J55" s="84">
        <v>195.72437023167495</v>
      </c>
      <c r="K55" s="84">
        <v>195.72437023167495</v>
      </c>
      <c r="L55" s="84">
        <f t="shared" si="3"/>
        <v>1814.79699209118</v>
      </c>
      <c r="M55" s="84">
        <f t="shared" si="3"/>
        <v>1154.7029367287585</v>
      </c>
      <c r="N55" s="241"/>
      <c r="O55" s="241"/>
      <c r="P55" s="241"/>
      <c r="Q55" s="51"/>
      <c r="R55" s="51"/>
      <c r="S55" s="51"/>
      <c r="T55" s="57"/>
      <c r="U55" s="51"/>
      <c r="V55" s="51"/>
      <c r="W55" s="51"/>
    </row>
    <row r="56" spans="1:23" ht="12.75">
      <c r="A56" s="82" t="s">
        <v>301</v>
      </c>
      <c r="B56" s="84">
        <v>1347.454139854522</v>
      </c>
      <c r="C56" s="84">
        <v>655.6650740139798</v>
      </c>
      <c r="D56" s="84">
        <v>0</v>
      </c>
      <c r="E56" s="84">
        <v>0</v>
      </c>
      <c r="F56" s="84">
        <v>248.78588813349654</v>
      </c>
      <c r="G56" s="84">
        <v>249.75248594867713</v>
      </c>
      <c r="H56" s="84">
        <v>72.16400601431464</v>
      </c>
      <c r="I56" s="84">
        <v>72.16400601431462</v>
      </c>
      <c r="J56" s="84">
        <v>195.72437023167504</v>
      </c>
      <c r="K56" s="84">
        <v>195.724370231675</v>
      </c>
      <c r="L56" s="84">
        <f t="shared" si="3"/>
        <v>1864.1284042340083</v>
      </c>
      <c r="M56" s="84">
        <f t="shared" si="3"/>
        <v>1173.3059362086465</v>
      </c>
      <c r="N56" s="241"/>
      <c r="O56" s="241"/>
      <c r="P56" s="241"/>
      <c r="Q56" s="51"/>
      <c r="R56" s="51"/>
      <c r="S56" s="51"/>
      <c r="T56" s="57"/>
      <c r="U56" s="51"/>
      <c r="V56" s="51"/>
      <c r="W56" s="51"/>
    </row>
    <row r="57" spans="1:23" ht="12.75">
      <c r="A57" s="82" t="s">
        <v>302</v>
      </c>
      <c r="B57" s="84">
        <v>1119.7952198325174</v>
      </c>
      <c r="C57" s="84">
        <v>722.5974727458345</v>
      </c>
      <c r="D57" s="84">
        <v>0</v>
      </c>
      <c r="E57" s="84">
        <v>0</v>
      </c>
      <c r="F57" s="84">
        <v>240.9839726937641</v>
      </c>
      <c r="G57" s="84">
        <v>241.67635765667472</v>
      </c>
      <c r="H57" s="84">
        <v>72.16400601431465</v>
      </c>
      <c r="I57" s="84">
        <v>72.16400601431465</v>
      </c>
      <c r="J57" s="84">
        <v>195.72437023167504</v>
      </c>
      <c r="K57" s="84">
        <v>195.72437023167504</v>
      </c>
      <c r="L57" s="84">
        <f t="shared" si="3"/>
        <v>1628.6675687722714</v>
      </c>
      <c r="M57" s="84">
        <f t="shared" si="3"/>
        <v>1232.162206648499</v>
      </c>
      <c r="N57" s="241"/>
      <c r="O57" s="241"/>
      <c r="P57" s="241"/>
      <c r="Q57" s="51"/>
      <c r="R57" s="51"/>
      <c r="S57" s="51"/>
      <c r="T57" s="57"/>
      <c r="U57" s="51"/>
      <c r="V57" s="51"/>
      <c r="W57" s="51"/>
    </row>
    <row r="58" spans="1:23" ht="12.75">
      <c r="A58" s="82" t="s">
        <v>303</v>
      </c>
      <c r="B58" s="84">
        <v>956.4724559415005</v>
      </c>
      <c r="C58" s="84">
        <v>838.7276759234235</v>
      </c>
      <c r="D58" s="84">
        <v>0</v>
      </c>
      <c r="E58" s="84">
        <v>0</v>
      </c>
      <c r="F58" s="84">
        <v>236.44242823853034</v>
      </c>
      <c r="G58" s="84">
        <v>235.62590996491863</v>
      </c>
      <c r="H58" s="84">
        <v>72.16400601431461</v>
      </c>
      <c r="I58" s="84">
        <v>72.16400601431465</v>
      </c>
      <c r="J58" s="84">
        <v>195.72437023167495</v>
      </c>
      <c r="K58" s="84">
        <v>195.72437023167504</v>
      </c>
      <c r="L58" s="84">
        <f t="shared" si="3"/>
        <v>1460.8032604260204</v>
      </c>
      <c r="M58" s="84">
        <f t="shared" si="3"/>
        <v>1342.241962134332</v>
      </c>
      <c r="N58" s="241"/>
      <c r="O58" s="241"/>
      <c r="P58" s="241"/>
      <c r="Q58" s="51"/>
      <c r="R58" s="51"/>
      <c r="S58" s="51"/>
      <c r="T58" s="57"/>
      <c r="U58" s="51"/>
      <c r="V58" s="51"/>
      <c r="W58" s="51"/>
    </row>
    <row r="59" spans="1:23" ht="12.75">
      <c r="A59" s="82" t="s">
        <v>304</v>
      </c>
      <c r="B59" s="84">
        <v>1064.7160361461479</v>
      </c>
      <c r="C59" s="84">
        <v>1049.0017030844572</v>
      </c>
      <c r="D59" s="84">
        <v>0</v>
      </c>
      <c r="E59" s="84">
        <v>0</v>
      </c>
      <c r="F59" s="84">
        <v>232.13081339214955</v>
      </c>
      <c r="G59" s="84">
        <v>231.09328974541344</v>
      </c>
      <c r="H59" s="84">
        <v>72.16400601431465</v>
      </c>
      <c r="I59" s="84">
        <v>72.16400601431465</v>
      </c>
      <c r="J59" s="84">
        <v>195.72437023167504</v>
      </c>
      <c r="K59" s="84">
        <v>195.724370231675</v>
      </c>
      <c r="L59" s="84">
        <f t="shared" si="3"/>
        <v>1564.7352257842872</v>
      </c>
      <c r="M59" s="84">
        <f t="shared" si="3"/>
        <v>1547.9833690758603</v>
      </c>
      <c r="N59" s="241"/>
      <c r="O59" s="241"/>
      <c r="P59" s="241"/>
      <c r="Q59" s="51"/>
      <c r="R59" s="51"/>
      <c r="S59" s="51"/>
      <c r="T59" s="57"/>
      <c r="U59" s="51"/>
      <c r="V59" s="51"/>
      <c r="W59" s="51"/>
    </row>
    <row r="60" spans="1:23" ht="12.75">
      <c r="A60" s="82" t="s">
        <v>305</v>
      </c>
      <c r="B60" s="84">
        <v>1268.0599191268068</v>
      </c>
      <c r="C60" s="84">
        <v>1328.5613380008165</v>
      </c>
      <c r="D60" s="84">
        <v>17.60873758398047</v>
      </c>
      <c r="E60" s="84">
        <v>14.97270862889734</v>
      </c>
      <c r="F60" s="84">
        <v>229.1670612725418</v>
      </c>
      <c r="G60" s="84">
        <v>227.6992469477734</v>
      </c>
      <c r="H60" s="84">
        <v>72.16400601431464</v>
      </c>
      <c r="I60" s="84">
        <v>72.16400601431465</v>
      </c>
      <c r="J60" s="84">
        <v>195.72437023167498</v>
      </c>
      <c r="K60" s="84">
        <v>195.724370231675</v>
      </c>
      <c r="L60" s="84">
        <f t="shared" si="3"/>
        <v>1782.7240942293188</v>
      </c>
      <c r="M60" s="84">
        <f t="shared" si="3"/>
        <v>1839.121669823477</v>
      </c>
      <c r="N60" s="241"/>
      <c r="O60" s="241"/>
      <c r="P60" s="241"/>
      <c r="Q60" s="51"/>
      <c r="R60" s="51"/>
      <c r="S60" s="51"/>
      <c r="T60" s="57"/>
      <c r="U60" s="51"/>
      <c r="V60" s="51"/>
      <c r="W60" s="51"/>
    </row>
    <row r="61" spans="1:23" ht="12.75">
      <c r="A61" s="82" t="s">
        <v>306</v>
      </c>
      <c r="B61" s="84">
        <v>1607.9447566780254</v>
      </c>
      <c r="C61" s="84">
        <v>1815.574837920862</v>
      </c>
      <c r="D61" s="84">
        <v>29.835496477906958</v>
      </c>
      <c r="E61" s="84">
        <v>27.396725421047318</v>
      </c>
      <c r="F61" s="84">
        <v>231.3950925608135</v>
      </c>
      <c r="G61" s="84">
        <v>225.54582302746718</v>
      </c>
      <c r="H61" s="84">
        <v>72.16400601431462</v>
      </c>
      <c r="I61" s="84">
        <v>72.16400601431462</v>
      </c>
      <c r="J61" s="84">
        <v>195.72437023167504</v>
      </c>
      <c r="K61" s="84">
        <v>195.72437023167498</v>
      </c>
      <c r="L61" s="84">
        <f t="shared" si="3"/>
        <v>2137.0637219627356</v>
      </c>
      <c r="M61" s="84">
        <f t="shared" si="3"/>
        <v>2336.405762615366</v>
      </c>
      <c r="N61" s="241"/>
      <c r="O61" s="241"/>
      <c r="P61" s="241"/>
      <c r="Q61" s="51"/>
      <c r="R61" s="51"/>
      <c r="S61" s="51"/>
      <c r="T61" s="57"/>
      <c r="U61" s="51"/>
      <c r="V61" s="51"/>
      <c r="W61" s="51"/>
    </row>
    <row r="62" spans="1:23" ht="12.75">
      <c r="A62" s="82" t="s">
        <v>307</v>
      </c>
      <c r="B62" s="84">
        <v>2083.6058593475577</v>
      </c>
      <c r="C62" s="84">
        <v>2481.195759724078</v>
      </c>
      <c r="D62" s="84">
        <v>85.50598700713003</v>
      </c>
      <c r="E62" s="84">
        <v>77.65066162356325</v>
      </c>
      <c r="F62" s="84">
        <v>236.50431058693943</v>
      </c>
      <c r="G62" s="84">
        <v>237.5191060513178</v>
      </c>
      <c r="H62" s="84">
        <v>72.16400601431467</v>
      </c>
      <c r="I62" s="84">
        <v>72.16400601431462</v>
      </c>
      <c r="J62" s="84">
        <v>195.72437023167507</v>
      </c>
      <c r="K62" s="84">
        <v>195.72437023167495</v>
      </c>
      <c r="L62" s="84">
        <f t="shared" si="3"/>
        <v>2673.5045331876167</v>
      </c>
      <c r="M62" s="84">
        <f t="shared" si="3"/>
        <v>3064.253903644949</v>
      </c>
      <c r="N62" s="241"/>
      <c r="O62" s="241"/>
      <c r="P62" s="241"/>
      <c r="Q62" s="51"/>
      <c r="R62" s="51"/>
      <c r="S62" s="51"/>
      <c r="T62" s="57"/>
      <c r="U62" s="51"/>
      <c r="V62" s="51"/>
      <c r="W62" s="51"/>
    </row>
    <row r="63" spans="1:23" ht="12.75">
      <c r="A63" s="82" t="s">
        <v>308</v>
      </c>
      <c r="B63" s="84">
        <v>2837.6325484579183</v>
      </c>
      <c r="C63" s="84">
        <v>3499.4436101752967</v>
      </c>
      <c r="D63" s="84">
        <v>306.76810207076085</v>
      </c>
      <c r="E63" s="84">
        <v>281.02305600606826</v>
      </c>
      <c r="F63" s="84">
        <v>208.1068050283344</v>
      </c>
      <c r="G63" s="84">
        <v>197.7849564543624</v>
      </c>
      <c r="H63" s="84">
        <v>72.16400601431467</v>
      </c>
      <c r="I63" s="84">
        <v>72.16400601431464</v>
      </c>
      <c r="J63" s="84">
        <v>0</v>
      </c>
      <c r="K63" s="84">
        <v>0</v>
      </c>
      <c r="L63" s="84">
        <f t="shared" si="3"/>
        <v>3424.671461571328</v>
      </c>
      <c r="M63" s="84">
        <f t="shared" si="3"/>
        <v>4050.415628650042</v>
      </c>
      <c r="N63" s="241"/>
      <c r="O63" s="241"/>
      <c r="P63" s="241"/>
      <c r="Q63" s="51"/>
      <c r="R63" s="51"/>
      <c r="S63" s="51"/>
      <c r="T63" s="57"/>
      <c r="U63" s="51"/>
      <c r="V63" s="51"/>
      <c r="W63" s="51"/>
    </row>
    <row r="64" spans="1:23" ht="12.75">
      <c r="A64" s="82" t="s">
        <v>309</v>
      </c>
      <c r="B64" s="84">
        <v>3536.509921773732</v>
      </c>
      <c r="C64" s="84">
        <v>4557.156954012927</v>
      </c>
      <c r="D64" s="84">
        <v>742.2288731094384</v>
      </c>
      <c r="E64" s="84">
        <v>649.3101694912008</v>
      </c>
      <c r="F64" s="84">
        <v>219.43066336023313</v>
      </c>
      <c r="G64" s="84">
        <v>206.12753367862982</v>
      </c>
      <c r="H64" s="84">
        <v>72.16400601431464</v>
      </c>
      <c r="I64" s="84">
        <v>72.16400601431464</v>
      </c>
      <c r="J64" s="84">
        <v>0</v>
      </c>
      <c r="K64" s="84">
        <v>0</v>
      </c>
      <c r="L64" s="84">
        <f t="shared" si="3"/>
        <v>4570.333464257717</v>
      </c>
      <c r="M64" s="84">
        <f t="shared" si="3"/>
        <v>5484.758663197073</v>
      </c>
      <c r="N64" s="241"/>
      <c r="O64" s="241"/>
      <c r="P64" s="241"/>
      <c r="Q64" s="51"/>
      <c r="R64" s="51"/>
      <c r="S64" s="51"/>
      <c r="T64" s="57"/>
      <c r="U64" s="51"/>
      <c r="V64" s="51"/>
      <c r="W64" s="51"/>
    </row>
    <row r="65" spans="1:23" ht="12.75">
      <c r="A65" s="82" t="s">
        <v>310</v>
      </c>
      <c r="B65" s="84">
        <v>4420.148701464256</v>
      </c>
      <c r="C65" s="84">
        <v>5648.896758494453</v>
      </c>
      <c r="D65" s="84">
        <v>1607.2124858510122</v>
      </c>
      <c r="E65" s="84">
        <v>1309.482930466605</v>
      </c>
      <c r="F65" s="84">
        <v>232.80876697018155</v>
      </c>
      <c r="G65" s="84">
        <v>211.47829356719342</v>
      </c>
      <c r="H65" s="84">
        <v>72.16400601431462</v>
      </c>
      <c r="I65" s="84">
        <v>72.16400601431464</v>
      </c>
      <c r="J65" s="84">
        <v>0</v>
      </c>
      <c r="K65" s="84">
        <v>0</v>
      </c>
      <c r="L65" s="84">
        <f t="shared" si="3"/>
        <v>6332.333960299765</v>
      </c>
      <c r="M65" s="84">
        <f t="shared" si="3"/>
        <v>7242.021988542567</v>
      </c>
      <c r="N65" s="241"/>
      <c r="O65" s="241"/>
      <c r="P65" s="241"/>
      <c r="Q65" s="51"/>
      <c r="R65" s="51"/>
      <c r="S65" s="51"/>
      <c r="T65" s="57"/>
      <c r="U65" s="51"/>
      <c r="V65" s="51"/>
      <c r="W65" s="51"/>
    </row>
    <row r="66" spans="1:23" ht="12.75">
      <c r="A66" s="82" t="s">
        <v>311</v>
      </c>
      <c r="B66" s="84">
        <v>5895.85815685766</v>
      </c>
      <c r="C66" s="84">
        <v>7105.05580731499</v>
      </c>
      <c r="D66" s="84">
        <v>3362.584350508857</v>
      </c>
      <c r="E66" s="84">
        <v>2468.9609978099716</v>
      </c>
      <c r="F66" s="84">
        <v>243.34122905517236</v>
      </c>
      <c r="G66" s="84">
        <v>211.83460176987703</v>
      </c>
      <c r="H66" s="84">
        <v>72.16400601431465</v>
      </c>
      <c r="I66" s="84">
        <v>72.16400601431465</v>
      </c>
      <c r="J66" s="84">
        <v>0</v>
      </c>
      <c r="K66" s="84">
        <v>0</v>
      </c>
      <c r="L66" s="84">
        <f t="shared" si="3"/>
        <v>9573.947742436005</v>
      </c>
      <c r="M66" s="84">
        <f t="shared" si="3"/>
        <v>9858.015412909152</v>
      </c>
      <c r="N66" s="241"/>
      <c r="O66" s="241"/>
      <c r="P66" s="241"/>
      <c r="Q66" s="51"/>
      <c r="R66" s="51"/>
      <c r="S66" s="51"/>
      <c r="T66" s="57"/>
      <c r="U66" s="51"/>
      <c r="V66" s="51"/>
      <c r="W66" s="51"/>
    </row>
    <row r="67" spans="1:23" ht="12.75">
      <c r="A67" s="82" t="s">
        <v>229</v>
      </c>
      <c r="B67" s="84">
        <v>5404.6895119027495</v>
      </c>
      <c r="C67" s="84">
        <v>6115.344610374689</v>
      </c>
      <c r="D67" s="84">
        <v>9335.382928292378</v>
      </c>
      <c r="E67" s="84">
        <v>5938.673569551739</v>
      </c>
      <c r="F67" s="84">
        <v>237.69213447332373</v>
      </c>
      <c r="G67" s="84">
        <v>198.6245790059965</v>
      </c>
      <c r="H67" s="84">
        <v>72.16400601431464</v>
      </c>
      <c r="I67" s="84">
        <v>72.16400601431464</v>
      </c>
      <c r="J67" s="84">
        <v>0</v>
      </c>
      <c r="K67" s="84">
        <v>0</v>
      </c>
      <c r="L67" s="84">
        <f t="shared" si="3"/>
        <v>15049.928580682765</v>
      </c>
      <c r="M67" s="84">
        <f t="shared" si="3"/>
        <v>12324.80676494674</v>
      </c>
      <c r="N67" s="241"/>
      <c r="O67" s="241"/>
      <c r="P67" s="241"/>
      <c r="Q67" s="51"/>
      <c r="R67" s="51"/>
      <c r="S67" s="51"/>
      <c r="T67" s="57"/>
      <c r="U67" s="51"/>
      <c r="V67" s="51"/>
      <c r="W67" s="51"/>
    </row>
    <row r="68" spans="1:23" ht="13.5" thickBot="1">
      <c r="A68" s="83" t="s">
        <v>312</v>
      </c>
      <c r="B68" s="85">
        <f aca="true" t="shared" si="4" ref="B68:M68">SUM(B50:B67)</f>
        <v>37382.35944315735</v>
      </c>
      <c r="C68" s="85">
        <f t="shared" si="4"/>
        <v>40891.56819079591</v>
      </c>
      <c r="D68" s="85">
        <f t="shared" si="4"/>
        <v>15487.126960901463</v>
      </c>
      <c r="E68" s="85">
        <f t="shared" si="4"/>
        <v>10767.470818999092</v>
      </c>
      <c r="F68" s="85">
        <f t="shared" si="4"/>
        <v>3899.814368723972</v>
      </c>
      <c r="G68" s="85">
        <f t="shared" si="4"/>
        <v>3770.7020000471935</v>
      </c>
      <c r="H68" s="85">
        <f t="shared" si="4"/>
        <v>1298.9521082576634</v>
      </c>
      <c r="I68" s="85">
        <f t="shared" si="4"/>
        <v>1298.9521082576637</v>
      </c>
      <c r="J68" s="85">
        <f t="shared" si="4"/>
        <v>2544.416813011775</v>
      </c>
      <c r="K68" s="85">
        <f t="shared" si="4"/>
        <v>2544.416813011775</v>
      </c>
      <c r="L68" s="85">
        <f t="shared" si="4"/>
        <v>60612.66969405222</v>
      </c>
      <c r="M68" s="85">
        <f t="shared" si="4"/>
        <v>59273.10993111164</v>
      </c>
      <c r="N68" s="241"/>
      <c r="O68" s="241"/>
      <c r="P68" s="241"/>
      <c r="Q68" s="51"/>
      <c r="R68" s="51"/>
      <c r="S68" s="51"/>
      <c r="T68" s="57"/>
      <c r="U68" s="51"/>
      <c r="V68" s="51"/>
      <c r="W68" s="51"/>
    </row>
    <row r="69" spans="14:23" ht="12.75">
      <c r="N69" s="241"/>
      <c r="O69" s="241"/>
      <c r="P69" s="241"/>
      <c r="Q69" s="51"/>
      <c r="R69" s="51"/>
      <c r="S69" s="51"/>
      <c r="T69" s="57"/>
      <c r="U69" s="51"/>
      <c r="V69" s="51"/>
      <c r="W69" s="51"/>
    </row>
    <row r="70" spans="14:20" ht="12.75">
      <c r="N70" s="241"/>
      <c r="O70" s="241"/>
      <c r="P70" s="241"/>
      <c r="Q70" s="120"/>
      <c r="R70" s="120"/>
      <c r="S70" s="120"/>
      <c r="T70" s="57"/>
    </row>
    <row r="71" spans="1:9" ht="15.75">
      <c r="A71" s="42" t="s">
        <v>161</v>
      </c>
      <c r="B71" s="41"/>
      <c r="C71" s="41"/>
      <c r="D71" s="41"/>
      <c r="E71" s="41"/>
      <c r="F71" s="41"/>
      <c r="G71" s="41"/>
      <c r="H71" s="41"/>
      <c r="I71" s="41"/>
    </row>
    <row r="72" spans="1:9" ht="12.75">
      <c r="A72" s="41"/>
      <c r="B72" s="41"/>
      <c r="C72" s="41"/>
      <c r="D72" s="41"/>
      <c r="E72" s="41"/>
      <c r="F72" s="41"/>
      <c r="G72" s="41"/>
      <c r="H72" s="41"/>
      <c r="I72" s="41"/>
    </row>
    <row r="73" spans="1:9" ht="12.75">
      <c r="A73" s="36"/>
      <c r="B73" s="127" t="s">
        <v>617</v>
      </c>
      <c r="C73" s="128"/>
      <c r="D73" s="127" t="s">
        <v>614</v>
      </c>
      <c r="E73" s="128"/>
      <c r="F73" s="127" t="s">
        <v>615</v>
      </c>
      <c r="G73" s="128"/>
      <c r="H73" s="127" t="s">
        <v>290</v>
      </c>
      <c r="I73" s="128"/>
    </row>
    <row r="74" spans="1:9" ht="12.75">
      <c r="A74" s="37" t="s">
        <v>134</v>
      </c>
      <c r="B74" s="38" t="s">
        <v>135</v>
      </c>
      <c r="C74" s="38" t="s">
        <v>136</v>
      </c>
      <c r="D74" s="38" t="s">
        <v>135</v>
      </c>
      <c r="E74" s="38" t="s">
        <v>136</v>
      </c>
      <c r="F74" s="38" t="s">
        <v>135</v>
      </c>
      <c r="G74" s="38" t="s">
        <v>136</v>
      </c>
      <c r="H74" s="38" t="s">
        <v>135</v>
      </c>
      <c r="I74" s="38" t="s">
        <v>136</v>
      </c>
    </row>
    <row r="75" spans="1:9" ht="12.75">
      <c r="A75" s="125">
        <v>16</v>
      </c>
      <c r="B75" s="129">
        <v>154</v>
      </c>
      <c r="C75" s="129">
        <v>6</v>
      </c>
      <c r="D75" s="129">
        <v>178</v>
      </c>
      <c r="E75" s="129">
        <v>268</v>
      </c>
      <c r="F75" s="129">
        <v>26</v>
      </c>
      <c r="G75" s="129">
        <v>1</v>
      </c>
      <c r="H75" s="129">
        <f aca="true" t="shared" si="5" ref="H75:I87">AVERAGE(B75,D75,F75)</f>
        <v>119.33333333333333</v>
      </c>
      <c r="I75" s="129">
        <f t="shared" si="5"/>
        <v>91.66666666666667</v>
      </c>
    </row>
    <row r="76" spans="1:9" ht="12.75">
      <c r="A76" s="125">
        <v>17</v>
      </c>
      <c r="B76" s="130">
        <v>543</v>
      </c>
      <c r="C76" s="130">
        <v>7</v>
      </c>
      <c r="D76" s="130">
        <v>296</v>
      </c>
      <c r="E76" s="130">
        <v>401</v>
      </c>
      <c r="F76" s="130">
        <v>97</v>
      </c>
      <c r="G76" s="130">
        <v>5</v>
      </c>
      <c r="H76" s="130">
        <f t="shared" si="5"/>
        <v>312</v>
      </c>
      <c r="I76" s="130">
        <f t="shared" si="5"/>
        <v>137.66666666666666</v>
      </c>
    </row>
    <row r="77" spans="1:9" ht="12.75">
      <c r="A77" s="125" t="s">
        <v>240</v>
      </c>
      <c r="B77" s="130">
        <v>3509</v>
      </c>
      <c r="C77" s="130">
        <v>59</v>
      </c>
      <c r="D77" s="130">
        <v>794</v>
      </c>
      <c r="E77" s="130">
        <v>1019</v>
      </c>
      <c r="F77" s="130">
        <v>1490</v>
      </c>
      <c r="G77" s="130">
        <v>831</v>
      </c>
      <c r="H77" s="130">
        <f t="shared" si="5"/>
        <v>1931</v>
      </c>
      <c r="I77" s="130">
        <f t="shared" si="5"/>
        <v>636.3333333333334</v>
      </c>
    </row>
    <row r="78" spans="1:9" ht="12.75">
      <c r="A78" s="125" t="s">
        <v>241</v>
      </c>
      <c r="B78" s="130">
        <v>15168</v>
      </c>
      <c r="C78" s="130">
        <v>611</v>
      </c>
      <c r="D78" s="130">
        <v>1922</v>
      </c>
      <c r="E78" s="130">
        <v>2361</v>
      </c>
      <c r="F78" s="130">
        <v>3062</v>
      </c>
      <c r="G78" s="130">
        <v>3053</v>
      </c>
      <c r="H78" s="130">
        <f t="shared" si="5"/>
        <v>6717.333333333333</v>
      </c>
      <c r="I78" s="130">
        <f t="shared" si="5"/>
        <v>2008.3333333333333</v>
      </c>
    </row>
    <row r="79" spans="1:9" ht="12.75">
      <c r="A79" s="125" t="s">
        <v>242</v>
      </c>
      <c r="B79" s="130">
        <v>15078</v>
      </c>
      <c r="C79" s="130">
        <v>1238</v>
      </c>
      <c r="D79" s="130">
        <v>1819</v>
      </c>
      <c r="E79" s="130">
        <v>2526</v>
      </c>
      <c r="F79" s="130">
        <v>1800</v>
      </c>
      <c r="G79" s="130">
        <v>2960</v>
      </c>
      <c r="H79" s="130">
        <f t="shared" si="5"/>
        <v>6232.333333333333</v>
      </c>
      <c r="I79" s="130">
        <f t="shared" si="5"/>
        <v>2241.3333333333335</v>
      </c>
    </row>
    <row r="80" spans="1:9" ht="12.75">
      <c r="A80" s="125" t="s">
        <v>243</v>
      </c>
      <c r="B80" s="130">
        <v>13694</v>
      </c>
      <c r="C80" s="130">
        <v>1670</v>
      </c>
      <c r="D80" s="130">
        <v>2131</v>
      </c>
      <c r="E80" s="130">
        <v>2943</v>
      </c>
      <c r="F80" s="130">
        <v>1546</v>
      </c>
      <c r="G80" s="130">
        <v>3001</v>
      </c>
      <c r="H80" s="130">
        <f t="shared" si="5"/>
        <v>5790.333333333333</v>
      </c>
      <c r="I80" s="130">
        <f t="shared" si="5"/>
        <v>2538</v>
      </c>
    </row>
    <row r="81" spans="1:9" ht="12.75">
      <c r="A81" s="125" t="s">
        <v>244</v>
      </c>
      <c r="B81" s="130">
        <v>14360</v>
      </c>
      <c r="C81" s="130">
        <v>2128</v>
      </c>
      <c r="D81" s="130">
        <v>3209</v>
      </c>
      <c r="E81" s="130">
        <v>4113</v>
      </c>
      <c r="F81" s="130">
        <v>1756</v>
      </c>
      <c r="G81" s="130">
        <v>3445</v>
      </c>
      <c r="H81" s="130">
        <f t="shared" si="5"/>
        <v>6441.666666666667</v>
      </c>
      <c r="I81" s="130">
        <f t="shared" si="5"/>
        <v>3228.6666666666665</v>
      </c>
    </row>
    <row r="82" spans="1:9" ht="12.75">
      <c r="A82" s="125" t="s">
        <v>245</v>
      </c>
      <c r="B82" s="130">
        <v>11538</v>
      </c>
      <c r="C82" s="130">
        <v>2063</v>
      </c>
      <c r="D82" s="130">
        <v>4040</v>
      </c>
      <c r="E82" s="130">
        <v>4890</v>
      </c>
      <c r="F82" s="130">
        <v>1952</v>
      </c>
      <c r="G82" s="130">
        <v>3563</v>
      </c>
      <c r="H82" s="130">
        <f t="shared" si="5"/>
        <v>5843.333333333333</v>
      </c>
      <c r="I82" s="130">
        <f t="shared" si="5"/>
        <v>3505.3333333333335</v>
      </c>
    </row>
    <row r="83" spans="1:9" ht="12.75">
      <c r="A83" s="125" t="s">
        <v>246</v>
      </c>
      <c r="B83" s="130">
        <v>7492</v>
      </c>
      <c r="C83" s="130">
        <v>1584</v>
      </c>
      <c r="D83" s="130">
        <v>5237</v>
      </c>
      <c r="E83" s="130">
        <v>5670</v>
      </c>
      <c r="F83" s="130">
        <v>2618</v>
      </c>
      <c r="G83" s="130">
        <v>3567</v>
      </c>
      <c r="H83" s="130">
        <f t="shared" si="5"/>
        <v>5115.666666666667</v>
      </c>
      <c r="I83" s="130">
        <f t="shared" si="5"/>
        <v>3607</v>
      </c>
    </row>
    <row r="84" spans="1:9" ht="12.75">
      <c r="A84" s="125" t="s">
        <v>247</v>
      </c>
      <c r="B84" s="130">
        <v>3771</v>
      </c>
      <c r="C84" s="130">
        <v>881</v>
      </c>
      <c r="D84" s="130">
        <v>5710</v>
      </c>
      <c r="E84" s="130">
        <v>5825</v>
      </c>
      <c r="F84" s="130">
        <v>2570</v>
      </c>
      <c r="G84" s="130">
        <v>3106</v>
      </c>
      <c r="H84" s="130">
        <f t="shared" si="5"/>
        <v>4017</v>
      </c>
      <c r="I84" s="130">
        <f t="shared" si="5"/>
        <v>3270.6666666666665</v>
      </c>
    </row>
    <row r="85" spans="1:9" ht="12.75">
      <c r="A85" s="125" t="s">
        <v>248</v>
      </c>
      <c r="B85" s="130">
        <v>2320</v>
      </c>
      <c r="C85" s="130">
        <v>520</v>
      </c>
      <c r="D85" s="130">
        <v>6724</v>
      </c>
      <c r="E85" s="130">
        <v>6291</v>
      </c>
      <c r="F85" s="130">
        <v>2434</v>
      </c>
      <c r="G85" s="130">
        <v>2838</v>
      </c>
      <c r="H85" s="130">
        <f t="shared" si="5"/>
        <v>3826</v>
      </c>
      <c r="I85" s="130">
        <f t="shared" si="5"/>
        <v>3216.3333333333335</v>
      </c>
    </row>
    <row r="86" spans="1:9" ht="12.75">
      <c r="A86" s="125" t="s">
        <v>249</v>
      </c>
      <c r="B86" s="130">
        <v>2020</v>
      </c>
      <c r="C86" s="130">
        <v>270</v>
      </c>
      <c r="D86" s="130">
        <v>7975</v>
      </c>
      <c r="E86" s="130">
        <v>8152</v>
      </c>
      <c r="F86" s="130">
        <v>2113</v>
      </c>
      <c r="G86" s="130">
        <v>2719</v>
      </c>
      <c r="H86" s="130">
        <f t="shared" si="5"/>
        <v>4036</v>
      </c>
      <c r="I86" s="130">
        <f t="shared" si="5"/>
        <v>3713.6666666666665</v>
      </c>
    </row>
    <row r="87" spans="1:9" ht="12.75">
      <c r="A87" s="125" t="s">
        <v>137</v>
      </c>
      <c r="B87" s="131">
        <v>53</v>
      </c>
      <c r="C87" s="131">
        <v>8</v>
      </c>
      <c r="D87" s="131">
        <v>593</v>
      </c>
      <c r="E87" s="131">
        <v>773</v>
      </c>
      <c r="F87" s="131">
        <v>180</v>
      </c>
      <c r="G87" s="131">
        <v>196</v>
      </c>
      <c r="H87" s="131">
        <f t="shared" si="5"/>
        <v>275.3333333333333</v>
      </c>
      <c r="I87" s="131">
        <f t="shared" si="5"/>
        <v>325.6666666666667</v>
      </c>
    </row>
    <row r="88" spans="1:9" ht="12.75">
      <c r="A88" s="126" t="s">
        <v>312</v>
      </c>
      <c r="B88" s="132">
        <f aca="true" t="shared" si="6" ref="B88:I88">SUM(B$75:B$87)</f>
        <v>89700</v>
      </c>
      <c r="C88" s="132">
        <f t="shared" si="6"/>
        <v>11045</v>
      </c>
      <c r="D88" s="132">
        <f t="shared" si="6"/>
        <v>40628</v>
      </c>
      <c r="E88" s="132">
        <f t="shared" si="6"/>
        <v>45232</v>
      </c>
      <c r="F88" s="132">
        <f t="shared" si="6"/>
        <v>21644</v>
      </c>
      <c r="G88" s="132">
        <f t="shared" si="6"/>
        <v>29285</v>
      </c>
      <c r="H88" s="132">
        <f t="shared" si="6"/>
        <v>50657.333333333336</v>
      </c>
      <c r="I88" s="132">
        <f t="shared" si="6"/>
        <v>28520.66666666667</v>
      </c>
    </row>
    <row r="89" spans="1:9" ht="12.75">
      <c r="A89" s="36" t="s">
        <v>250</v>
      </c>
      <c r="B89" s="127" t="str">
        <f>$B$73</f>
        <v>Domestic Purposes</v>
      </c>
      <c r="C89" s="128"/>
      <c r="D89" s="127" t="str">
        <f>$D$73</f>
        <v>Invalids Benefit</v>
      </c>
      <c r="E89" s="128"/>
      <c r="F89" s="127" t="str">
        <f>$F$73</f>
        <v>Sickness Benefit</v>
      </c>
      <c r="G89" s="128"/>
      <c r="H89" s="127" t="str">
        <f>$H$73</f>
        <v>Average of three</v>
      </c>
      <c r="I89" s="128"/>
    </row>
    <row r="90" spans="1:9" ht="12.75">
      <c r="A90" s="37" t="s">
        <v>134</v>
      </c>
      <c r="B90" s="38" t="s">
        <v>135</v>
      </c>
      <c r="C90" s="38" t="s">
        <v>136</v>
      </c>
      <c r="D90" s="38" t="s">
        <v>135</v>
      </c>
      <c r="E90" s="38" t="s">
        <v>136</v>
      </c>
      <c r="F90" s="38" t="s">
        <v>135</v>
      </c>
      <c r="G90" s="38" t="s">
        <v>136</v>
      </c>
      <c r="H90" s="38" t="s">
        <v>135</v>
      </c>
      <c r="I90" s="38" t="s">
        <v>136</v>
      </c>
    </row>
    <row r="91" spans="1:9" ht="12.75">
      <c r="A91" s="39" t="s">
        <v>251</v>
      </c>
      <c r="B91" s="133">
        <f>SUM($B75:$B77)/SUM($B$75:$C$87)</f>
        <v>0.04174897017221698</v>
      </c>
      <c r="C91" s="133">
        <f>SUM($C75:$C77)/SUM($B$75:$C$87)</f>
        <v>0.0007146756662861681</v>
      </c>
      <c r="D91" s="133">
        <f>SUM($D75:$D77)/SUM($D$75:$E$87)</f>
        <v>0.0147682273468437</v>
      </c>
      <c r="E91" s="133">
        <f>SUM($E75:$E77)/SUM($D$75:$E$87)</f>
        <v>0.019659911483810855</v>
      </c>
      <c r="F91" s="133">
        <f>SUM($F75:$F77)/SUM($F$75:$G$87)</f>
        <v>0.03167154273596576</v>
      </c>
      <c r="G91" s="133">
        <f>SUM($G75:$G77)/SUM($F$75:$G$87)</f>
        <v>0.016434644308743546</v>
      </c>
      <c r="H91" s="133">
        <f>SUM($H75:$H77)/SUM($H$75:$I$87)</f>
        <v>0.029835728779879934</v>
      </c>
      <c r="I91" s="133">
        <f>SUM($I75:$I77)/SUM($H$75:$I$87)</f>
        <v>0.010933171672265866</v>
      </c>
    </row>
    <row r="92" spans="1:9" ht="12.75">
      <c r="A92" s="39" t="s">
        <v>241</v>
      </c>
      <c r="B92" s="133">
        <f aca="true" t="shared" si="7" ref="B92:B101">$B78/SUM($B$75:$C$87)</f>
        <v>0.15055834036428606</v>
      </c>
      <c r="C92" s="133">
        <f aca="true" t="shared" si="8" ref="C92:C101">$C78/SUM($B$75:$C$87)</f>
        <v>0.006064817112511787</v>
      </c>
      <c r="D92" s="133">
        <f aca="true" t="shared" si="9" ref="D92:D101">$D78/SUM($D$75:$E$87)</f>
        <v>0.02238527836012113</v>
      </c>
      <c r="E92" s="133">
        <f aca="true" t="shared" si="10" ref="E92:E101">$E78/SUM($D$75:$E$87)</f>
        <v>0.027498252969951082</v>
      </c>
      <c r="F92" s="133">
        <f aca="true" t="shared" si="11" ref="F92:F101">$F78/SUM($F$75:$G$87)</f>
        <v>0.06012291621669383</v>
      </c>
      <c r="G92" s="133">
        <f aca="true" t="shared" si="12" ref="G92:G101">$G78/SUM($F$75:$G$87)</f>
        <v>0.059946199611223466</v>
      </c>
      <c r="H92" s="133">
        <f aca="true" t="shared" si="13" ref="H92:H101">$H78/SUM($H$75:$I$87)</f>
        <v>0.08483838103176808</v>
      </c>
      <c r="I92" s="133">
        <f aca="true" t="shared" si="14" ref="I92:I101">$I78/SUM($H$75:$I$87)</f>
        <v>0.025364789882711528</v>
      </c>
    </row>
    <row r="93" spans="1:9" ht="12.75">
      <c r="A93" s="39" t="s">
        <v>242</v>
      </c>
      <c r="B93" s="133">
        <f t="shared" si="7"/>
        <v>0.14966499578142836</v>
      </c>
      <c r="C93" s="133">
        <f t="shared" si="8"/>
        <v>0.012288451039753834</v>
      </c>
      <c r="D93" s="133">
        <f t="shared" si="9"/>
        <v>0.021185651059864898</v>
      </c>
      <c r="E93" s="133">
        <f t="shared" si="10"/>
        <v>0.029419986023759608</v>
      </c>
      <c r="F93" s="133">
        <f t="shared" si="11"/>
        <v>0.03534332109407214</v>
      </c>
      <c r="G93" s="133">
        <f t="shared" si="12"/>
        <v>0.05812012802136307</v>
      </c>
      <c r="H93" s="133">
        <f t="shared" si="13"/>
        <v>0.07871294214722944</v>
      </c>
      <c r="I93" s="133">
        <f t="shared" si="14"/>
        <v>0.028307526501469265</v>
      </c>
    </row>
    <row r="94" spans="1:9" ht="12.75">
      <c r="A94" s="39" t="s">
        <v>243</v>
      </c>
      <c r="B94" s="133">
        <f t="shared" si="7"/>
        <v>0.13592734130726092</v>
      </c>
      <c r="C94" s="133">
        <f t="shared" si="8"/>
        <v>0.01657650503747084</v>
      </c>
      <c r="D94" s="133">
        <f t="shared" si="9"/>
        <v>0.024819473561611925</v>
      </c>
      <c r="E94" s="133">
        <f t="shared" si="10"/>
        <v>0.03427672955974843</v>
      </c>
      <c r="F94" s="133">
        <f t="shared" si="11"/>
        <v>0.03035598578413085</v>
      </c>
      <c r="G94" s="133">
        <f t="shared" si="12"/>
        <v>0.05892517033517249</v>
      </c>
      <c r="H94" s="133">
        <f t="shared" si="13"/>
        <v>0.07313058341121692</v>
      </c>
      <c r="I94" s="133">
        <f t="shared" si="14"/>
        <v>0.03205435853393619</v>
      </c>
    </row>
    <row r="95" spans="1:9" ht="12.75">
      <c r="A95" s="39" t="s">
        <v>244</v>
      </c>
      <c r="B95" s="133">
        <f t="shared" si="7"/>
        <v>0.14253809122040795</v>
      </c>
      <c r="C95" s="133">
        <f t="shared" si="8"/>
        <v>0.021122636359124522</v>
      </c>
      <c r="D95" s="133">
        <f t="shared" si="9"/>
        <v>0.03737479617982763</v>
      </c>
      <c r="E95" s="133">
        <f t="shared" si="10"/>
        <v>0.04790356394129979</v>
      </c>
      <c r="F95" s="133">
        <f t="shared" si="11"/>
        <v>0.03447937324510593</v>
      </c>
      <c r="G95" s="133">
        <f t="shared" si="12"/>
        <v>0.06764318953837696</v>
      </c>
      <c r="H95" s="133">
        <f t="shared" si="13"/>
        <v>0.08135677418811624</v>
      </c>
      <c r="I95" s="133">
        <f t="shared" si="14"/>
        <v>0.04077732029940977</v>
      </c>
    </row>
    <row r="96" spans="1:9" ht="12.75">
      <c r="A96" s="39" t="s">
        <v>245</v>
      </c>
      <c r="B96" s="133">
        <f t="shared" si="7"/>
        <v>0.11452677552235843</v>
      </c>
      <c r="C96" s="133">
        <f t="shared" si="8"/>
        <v>0.020477443049282843</v>
      </c>
      <c r="D96" s="133">
        <f t="shared" si="9"/>
        <v>0.047053342650826925</v>
      </c>
      <c r="E96" s="133">
        <f t="shared" si="10"/>
        <v>0.05695317959468903</v>
      </c>
      <c r="F96" s="133">
        <f t="shared" si="11"/>
        <v>0.038327868208682676</v>
      </c>
      <c r="G96" s="133">
        <f t="shared" si="12"/>
        <v>0.06996014058787724</v>
      </c>
      <c r="H96" s="133">
        <f t="shared" si="13"/>
        <v>0.07379996126870259</v>
      </c>
      <c r="I96" s="133">
        <f t="shared" si="14"/>
        <v>0.04427155691395758</v>
      </c>
    </row>
    <row r="97" spans="1:9" ht="12.75">
      <c r="A97" s="39" t="s">
        <v>246</v>
      </c>
      <c r="B97" s="133">
        <f t="shared" si="7"/>
        <v>0.07436597349744405</v>
      </c>
      <c r="C97" s="133">
        <f t="shared" si="8"/>
        <v>0.0157228646582957</v>
      </c>
      <c r="D97" s="133">
        <f t="shared" si="9"/>
        <v>0.06099464244118332</v>
      </c>
      <c r="E97" s="133">
        <f t="shared" si="10"/>
        <v>0.0660377358490566</v>
      </c>
      <c r="F97" s="133">
        <f t="shared" si="11"/>
        <v>0.05140489701348937</v>
      </c>
      <c r="G97" s="133">
        <f t="shared" si="12"/>
        <v>0.07003868130141962</v>
      </c>
      <c r="H97" s="133">
        <f t="shared" si="13"/>
        <v>0.06460969798007865</v>
      </c>
      <c r="I97" s="133">
        <f t="shared" si="14"/>
        <v>0.0455555836217131</v>
      </c>
    </row>
    <row r="98" spans="1:9" ht="12.75">
      <c r="A98" s="39" t="s">
        <v>247</v>
      </c>
      <c r="B98" s="133">
        <f t="shared" si="7"/>
        <v>0.03743113802173805</v>
      </c>
      <c r="C98" s="133">
        <f t="shared" si="8"/>
        <v>0.008744850861084917</v>
      </c>
      <c r="D98" s="133">
        <f t="shared" si="9"/>
        <v>0.06650361052876776</v>
      </c>
      <c r="E98" s="133">
        <f t="shared" si="10"/>
        <v>0.06784300023293734</v>
      </c>
      <c r="F98" s="133">
        <f t="shared" si="11"/>
        <v>0.050462408450980774</v>
      </c>
      <c r="G98" s="133">
        <f t="shared" si="12"/>
        <v>0.060986864065660035</v>
      </c>
      <c r="H98" s="133">
        <f t="shared" si="13"/>
        <v>0.050733789689055044</v>
      </c>
      <c r="I98" s="133">
        <f t="shared" si="14"/>
        <v>0.04130777067703992</v>
      </c>
    </row>
    <row r="99" spans="1:9" ht="12.75">
      <c r="A99" s="39" t="s">
        <v>248</v>
      </c>
      <c r="B99" s="133">
        <f t="shared" si="7"/>
        <v>0.023028438135887636</v>
      </c>
      <c r="C99" s="133">
        <f t="shared" si="8"/>
        <v>0.005161546478733436</v>
      </c>
      <c r="D99" s="133">
        <f t="shared" si="9"/>
        <v>0.07831353365944561</v>
      </c>
      <c r="E99" s="133">
        <f t="shared" si="10"/>
        <v>0.07327044025157232</v>
      </c>
      <c r="F99" s="133">
        <f t="shared" si="11"/>
        <v>0.047792024190539774</v>
      </c>
      <c r="G99" s="133">
        <f t="shared" si="12"/>
        <v>0.05572463625832041</v>
      </c>
      <c r="H99" s="133">
        <f t="shared" si="13"/>
        <v>0.048321503447927454</v>
      </c>
      <c r="I99" s="133">
        <f t="shared" si="14"/>
        <v>0.04062155312502631</v>
      </c>
    </row>
    <row r="100" spans="1:9" ht="12.75">
      <c r="A100" s="39" t="s">
        <v>249</v>
      </c>
      <c r="B100" s="133">
        <f t="shared" si="7"/>
        <v>0.02005062285969527</v>
      </c>
      <c r="C100" s="133">
        <f t="shared" si="8"/>
        <v>0.00268003374857313</v>
      </c>
      <c r="D100" s="133">
        <f t="shared" si="9"/>
        <v>0.09288376426741207</v>
      </c>
      <c r="E100" s="133">
        <f t="shared" si="10"/>
        <v>0.09494525972513394</v>
      </c>
      <c r="F100" s="133">
        <f t="shared" si="11"/>
        <v>0.04148913192876357</v>
      </c>
      <c r="G100" s="133">
        <f t="shared" si="12"/>
        <v>0.05338805003043453</v>
      </c>
      <c r="H100" s="133">
        <f t="shared" si="13"/>
        <v>0.0509737553360782</v>
      </c>
      <c r="I100" s="133">
        <f t="shared" si="14"/>
        <v>0.0469027591839484</v>
      </c>
    </row>
    <row r="101" spans="1:9" ht="12.75">
      <c r="A101" s="40" t="s">
        <v>137</v>
      </c>
      <c r="B101" s="133">
        <f t="shared" si="7"/>
        <v>0.0005260806987939849</v>
      </c>
      <c r="C101" s="133">
        <f t="shared" si="8"/>
        <v>7.940840736512978E-05</v>
      </c>
      <c r="D101" s="133">
        <f t="shared" si="9"/>
        <v>0.006906592126717913</v>
      </c>
      <c r="E101" s="133">
        <f t="shared" si="10"/>
        <v>0.009003028185418123</v>
      </c>
      <c r="F101" s="133">
        <f t="shared" si="11"/>
        <v>0.003534332109407214</v>
      </c>
      <c r="G101" s="133">
        <f t="shared" si="12"/>
        <v>0.003848494963576744</v>
      </c>
      <c r="H101" s="133">
        <f t="shared" si="13"/>
        <v>0.0034773969200198704</v>
      </c>
      <c r="I101" s="133">
        <f t="shared" si="14"/>
        <v>0.004113095388449654</v>
      </c>
    </row>
    <row r="104" spans="1:13" ht="18.75">
      <c r="A104" s="298" t="s">
        <v>181</v>
      </c>
      <c r="B104" s="299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</row>
    <row r="105" spans="1:13" ht="12.75">
      <c r="A105" s="300" t="s">
        <v>609</v>
      </c>
      <c r="B105" s="299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</row>
    <row r="106" spans="1:13" ht="12.75">
      <c r="A106" s="299"/>
      <c r="B106" s="301" t="s">
        <v>101</v>
      </c>
      <c r="C106" s="301" t="s">
        <v>102</v>
      </c>
      <c r="D106" s="301" t="s">
        <v>103</v>
      </c>
      <c r="E106" s="301" t="s">
        <v>104</v>
      </c>
      <c r="F106" s="301" t="s">
        <v>105</v>
      </c>
      <c r="G106" s="301" t="s">
        <v>2</v>
      </c>
      <c r="H106" s="301" t="s">
        <v>106</v>
      </c>
      <c r="I106" s="301" t="s">
        <v>107</v>
      </c>
      <c r="J106" s="301" t="s">
        <v>108</v>
      </c>
      <c r="K106" s="301" t="s">
        <v>109</v>
      </c>
      <c r="L106" s="301" t="s">
        <v>112</v>
      </c>
      <c r="M106" s="301" t="s">
        <v>113</v>
      </c>
    </row>
    <row r="107" spans="1:13" ht="12.75">
      <c r="A107" s="302" t="s">
        <v>110</v>
      </c>
      <c r="B107" s="341">
        <v>1102</v>
      </c>
      <c r="C107" s="342">
        <v>1420</v>
      </c>
      <c r="D107" s="342">
        <v>919</v>
      </c>
      <c r="E107" s="342">
        <v>940</v>
      </c>
      <c r="F107" s="342">
        <v>956</v>
      </c>
      <c r="G107" s="342">
        <v>983</v>
      </c>
      <c r="H107" s="343">
        <v>986</v>
      </c>
      <c r="I107" s="343">
        <v>998</v>
      </c>
      <c r="J107" s="343">
        <v>1015</v>
      </c>
      <c r="K107" s="343">
        <v>1023</v>
      </c>
      <c r="L107" s="343">
        <v>1036</v>
      </c>
      <c r="M107" s="343">
        <v>1050</v>
      </c>
    </row>
    <row r="108" spans="1:16" ht="12.7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1:17" ht="18.75">
      <c r="A109" s="303" t="s">
        <v>111</v>
      </c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</row>
    <row r="110" spans="1:17" ht="12.75">
      <c r="A110" s="305" t="s">
        <v>609</v>
      </c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</row>
    <row r="111" spans="1:17" ht="12.75">
      <c r="A111" s="304"/>
      <c r="B111" s="306" t="s">
        <v>101</v>
      </c>
      <c r="C111" s="306" t="s">
        <v>102</v>
      </c>
      <c r="D111" s="306" t="s">
        <v>103</v>
      </c>
      <c r="E111" s="306" t="s">
        <v>104</v>
      </c>
      <c r="F111" s="306" t="s">
        <v>105</v>
      </c>
      <c r="G111" s="306" t="s">
        <v>2</v>
      </c>
      <c r="H111" s="306" t="s">
        <v>106</v>
      </c>
      <c r="I111" s="306" t="s">
        <v>107</v>
      </c>
      <c r="J111" s="306" t="s">
        <v>108</v>
      </c>
      <c r="K111" s="306" t="s">
        <v>109</v>
      </c>
      <c r="L111" s="306" t="s">
        <v>112</v>
      </c>
      <c r="M111" s="306" t="s">
        <v>113</v>
      </c>
      <c r="N111" s="306" t="s">
        <v>483</v>
      </c>
      <c r="O111" s="306" t="s">
        <v>114</v>
      </c>
      <c r="P111" s="306" t="s">
        <v>115</v>
      </c>
      <c r="Q111" s="306" t="s">
        <v>480</v>
      </c>
    </row>
    <row r="112" spans="1:17" ht="12.75">
      <c r="A112" s="307" t="s">
        <v>116</v>
      </c>
      <c r="B112" s="344">
        <v>0.959</v>
      </c>
      <c r="C112" s="345">
        <v>0.562</v>
      </c>
      <c r="D112" s="345">
        <v>0.562</v>
      </c>
      <c r="E112" s="345">
        <v>0.562</v>
      </c>
      <c r="F112" s="345">
        <v>0.562</v>
      </c>
      <c r="G112" s="345">
        <v>0.562</v>
      </c>
      <c r="H112" s="308">
        <v>0</v>
      </c>
      <c r="I112" s="308">
        <v>0</v>
      </c>
      <c r="J112" s="308">
        <v>0</v>
      </c>
      <c r="K112" s="308">
        <v>0</v>
      </c>
      <c r="L112" s="308">
        <v>0</v>
      </c>
      <c r="M112" s="308">
        <v>0</v>
      </c>
      <c r="N112" s="308">
        <v>0</v>
      </c>
      <c r="O112" s="308">
        <v>0</v>
      </c>
      <c r="P112" s="308">
        <v>0</v>
      </c>
      <c r="Q112" s="308">
        <v>0</v>
      </c>
    </row>
    <row r="113" spans="1:17" ht="12.75">
      <c r="A113" s="307"/>
      <c r="B113" s="346"/>
      <c r="C113" s="347"/>
      <c r="D113" s="347"/>
      <c r="E113" s="347"/>
      <c r="F113" s="347"/>
      <c r="G113" s="347"/>
      <c r="H113" s="309"/>
      <c r="I113" s="309"/>
      <c r="J113" s="309"/>
      <c r="K113" s="309"/>
      <c r="L113" s="309"/>
      <c r="M113" s="309"/>
      <c r="N113" s="348"/>
      <c r="O113" s="348"/>
      <c r="P113" s="348"/>
      <c r="Q113" s="348"/>
    </row>
    <row r="114" spans="1:17" ht="12.75">
      <c r="A114" s="307" t="s">
        <v>117</v>
      </c>
      <c r="B114" s="344">
        <v>0</v>
      </c>
      <c r="C114" s="345">
        <v>0.088</v>
      </c>
      <c r="D114" s="345">
        <v>0.414</v>
      </c>
      <c r="E114" s="345">
        <v>0.846</v>
      </c>
      <c r="F114" s="345">
        <v>1.044</v>
      </c>
      <c r="G114" s="345">
        <v>1.577</v>
      </c>
      <c r="H114" s="310">
        <v>1.35</v>
      </c>
      <c r="I114" s="310">
        <v>1.35</v>
      </c>
      <c r="J114" s="310">
        <v>1.35</v>
      </c>
      <c r="K114" s="310">
        <v>1.35</v>
      </c>
      <c r="L114" s="310">
        <v>1.35</v>
      </c>
      <c r="M114" s="310">
        <v>1.2479166666666666</v>
      </c>
      <c r="N114" s="310">
        <v>1.1458333333333335</v>
      </c>
      <c r="O114" s="310">
        <v>1.04375</v>
      </c>
      <c r="P114" s="310">
        <v>0.9416666666666667</v>
      </c>
      <c r="Q114" s="310">
        <v>0.8395833333333333</v>
      </c>
    </row>
    <row r="115" spans="1:17" ht="12.75">
      <c r="A115" s="307" t="s">
        <v>118</v>
      </c>
      <c r="B115" s="344">
        <v>0</v>
      </c>
      <c r="C115" s="345">
        <v>0.327</v>
      </c>
      <c r="D115" s="345">
        <v>0.956</v>
      </c>
      <c r="E115" s="345">
        <v>0.629</v>
      </c>
      <c r="F115" s="345">
        <v>0.642</v>
      </c>
      <c r="G115" s="345">
        <v>1.07</v>
      </c>
      <c r="H115" s="310">
        <v>1.35</v>
      </c>
      <c r="I115" s="310">
        <v>1.35</v>
      </c>
      <c r="J115" s="310">
        <v>1.35</v>
      </c>
      <c r="K115" s="310">
        <v>1.35</v>
      </c>
      <c r="L115" s="310">
        <v>1.35</v>
      </c>
      <c r="M115" s="310">
        <v>1.2479166666666666</v>
      </c>
      <c r="N115" s="310">
        <v>1.1458333333333335</v>
      </c>
      <c r="O115" s="310">
        <v>1.04375</v>
      </c>
      <c r="P115" s="310">
        <v>0.9416666666666667</v>
      </c>
      <c r="Q115" s="310">
        <v>0.8395833333333333</v>
      </c>
    </row>
    <row r="116" spans="1:17" ht="12.75">
      <c r="A116" s="307"/>
      <c r="B116" s="346"/>
      <c r="C116" s="347"/>
      <c r="D116" s="347"/>
      <c r="E116" s="347"/>
      <c r="F116" s="347"/>
      <c r="G116" s="347"/>
      <c r="H116" s="309"/>
      <c r="I116" s="309"/>
      <c r="J116" s="309"/>
      <c r="K116" s="309"/>
      <c r="L116" s="309"/>
      <c r="M116" s="309"/>
      <c r="N116" s="348"/>
      <c r="O116" s="348"/>
      <c r="P116" s="348"/>
      <c r="Q116" s="348"/>
    </row>
    <row r="117" spans="1:17" ht="12.75">
      <c r="A117" s="307" t="s">
        <v>119</v>
      </c>
      <c r="B117" s="344">
        <v>0</v>
      </c>
      <c r="C117" s="345">
        <v>0.23900000000000002</v>
      </c>
      <c r="D117" s="345">
        <v>0.781</v>
      </c>
      <c r="E117" s="345">
        <v>0.5640000000000001</v>
      </c>
      <c r="F117" s="345">
        <v>0.16200000000000003</v>
      </c>
      <c r="G117" s="345">
        <v>0</v>
      </c>
      <c r="H117" s="308">
        <v>0</v>
      </c>
      <c r="I117" s="308">
        <v>0</v>
      </c>
      <c r="J117" s="308">
        <v>0</v>
      </c>
      <c r="K117" s="308">
        <v>0</v>
      </c>
      <c r="L117" s="308">
        <v>0</v>
      </c>
      <c r="M117" s="308">
        <v>0</v>
      </c>
      <c r="N117" s="308">
        <v>0</v>
      </c>
      <c r="O117" s="308">
        <v>0</v>
      </c>
      <c r="P117" s="308">
        <v>0</v>
      </c>
      <c r="Q117" s="308">
        <v>0</v>
      </c>
    </row>
    <row r="118" spans="1:17" ht="12.75">
      <c r="A118" s="307" t="s">
        <v>120</v>
      </c>
      <c r="B118" s="344">
        <v>0</v>
      </c>
      <c r="C118" s="345">
        <v>0</v>
      </c>
      <c r="D118" s="345">
        <v>0</v>
      </c>
      <c r="E118" s="345">
        <v>0</v>
      </c>
      <c r="F118" s="345">
        <v>0</v>
      </c>
      <c r="G118" s="345">
        <v>0.345</v>
      </c>
      <c r="H118" s="308">
        <v>0</v>
      </c>
      <c r="I118" s="308">
        <v>0</v>
      </c>
      <c r="J118" s="308">
        <v>0</v>
      </c>
      <c r="K118" s="308">
        <v>0</v>
      </c>
      <c r="L118" s="308">
        <v>0</v>
      </c>
      <c r="M118" s="308">
        <v>0</v>
      </c>
      <c r="N118" s="308">
        <v>0</v>
      </c>
      <c r="O118" s="308">
        <v>0</v>
      </c>
      <c r="P118" s="308">
        <v>0</v>
      </c>
      <c r="Q118" s="308">
        <v>0</v>
      </c>
    </row>
    <row r="121" spans="1:11" ht="12.75">
      <c r="A121" s="349" t="s">
        <v>839</v>
      </c>
      <c r="B121" s="350" t="s">
        <v>106</v>
      </c>
      <c r="C121" s="350" t="s">
        <v>107</v>
      </c>
      <c r="D121" s="350" t="s">
        <v>108</v>
      </c>
      <c r="E121" s="350" t="s">
        <v>109</v>
      </c>
      <c r="F121" s="350" t="s">
        <v>112</v>
      </c>
      <c r="G121" s="350" t="s">
        <v>113</v>
      </c>
      <c r="H121" s="350" t="s">
        <v>483</v>
      </c>
      <c r="I121" s="350" t="s">
        <v>114</v>
      </c>
      <c r="J121" s="350" t="s">
        <v>115</v>
      </c>
      <c r="K121" s="350" t="s">
        <v>480</v>
      </c>
    </row>
    <row r="122" spans="1:11" ht="12.75">
      <c r="A122" s="351" t="s">
        <v>608</v>
      </c>
      <c r="B122" s="352">
        <v>1.65</v>
      </c>
      <c r="C122" s="352">
        <v>1.65</v>
      </c>
      <c r="D122" s="352">
        <v>1.65</v>
      </c>
      <c r="E122" s="352">
        <f>$B$123*1.02^(MID(E$121,6,2)-MID($B$121,6,2))</f>
        <v>0.9550871999999999</v>
      </c>
      <c r="F122" s="352">
        <f aca="true" t="shared" si="15" ref="F122:K122">$B$123*1.02^(MID(F$121,6,2)-MID($B$121,6,2))</f>
        <v>0.974188944</v>
      </c>
      <c r="G122" s="352">
        <f t="shared" si="15"/>
        <v>0.9936727228800001</v>
      </c>
      <c r="H122" s="352">
        <f t="shared" si="15"/>
        <v>1.0135461773376</v>
      </c>
      <c r="I122" s="352">
        <f t="shared" si="15"/>
        <v>1.033817100884352</v>
      </c>
      <c r="J122" s="352">
        <f t="shared" si="15"/>
        <v>1.054493442902039</v>
      </c>
      <c r="K122" s="352">
        <f t="shared" si="15"/>
        <v>1.0755833117600797</v>
      </c>
    </row>
    <row r="123" spans="1:2" ht="12.75">
      <c r="A123" s="351" t="s">
        <v>835</v>
      </c>
      <c r="B123" s="352">
        <v>0.9</v>
      </c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140625" defaultRowHeight="12.75"/>
  <cols>
    <col min="1" max="1" width="52.57421875" style="0" customWidth="1"/>
    <col min="2" max="4" width="21.7109375" style="0" customWidth="1"/>
    <col min="5" max="5" width="11.140625" style="0" customWidth="1"/>
  </cols>
  <sheetData>
    <row r="1" ht="18.75">
      <c r="A1" s="55" t="s">
        <v>174</v>
      </c>
    </row>
    <row r="2" ht="12.75" customHeight="1">
      <c r="A2" s="55"/>
    </row>
    <row r="3" spans="1:4" ht="15.75" customHeight="1">
      <c r="A3" s="56" t="s">
        <v>514</v>
      </c>
      <c r="B3" s="52" t="s">
        <v>501</v>
      </c>
      <c r="C3" s="53" t="s">
        <v>943</v>
      </c>
      <c r="D3" s="54" t="s">
        <v>944</v>
      </c>
    </row>
    <row r="4" ht="12.75">
      <c r="A4" s="44"/>
    </row>
    <row r="5" spans="1:2" ht="15.75" customHeight="1">
      <c r="A5" s="56" t="s">
        <v>515</v>
      </c>
      <c r="B5" s="219" t="s">
        <v>497</v>
      </c>
    </row>
    <row r="6" spans="1:4" ht="12.75">
      <c r="A6" s="48" t="s">
        <v>516</v>
      </c>
      <c r="B6" s="2">
        <v>0.015</v>
      </c>
      <c r="C6" s="3">
        <v>0.015</v>
      </c>
      <c r="D6" s="4">
        <v>0.015</v>
      </c>
    </row>
    <row r="7" spans="1:4" ht="12.75">
      <c r="A7" s="48" t="s">
        <v>517</v>
      </c>
      <c r="B7" s="2">
        <v>0.02</v>
      </c>
      <c r="C7" s="3">
        <v>0.02</v>
      </c>
      <c r="D7" s="4">
        <v>0.02</v>
      </c>
    </row>
    <row r="8" spans="1:4" ht="12.75">
      <c r="A8" s="48" t="s">
        <v>164</v>
      </c>
      <c r="B8" s="2">
        <v>0.06</v>
      </c>
      <c r="C8" s="3">
        <v>0.06</v>
      </c>
      <c r="D8" s="4">
        <v>0.06</v>
      </c>
    </row>
    <row r="9" spans="1:4" ht="12.75">
      <c r="A9" s="48" t="s">
        <v>523</v>
      </c>
      <c r="B9" s="2">
        <v>0.045</v>
      </c>
      <c r="C9" s="3">
        <v>0.045</v>
      </c>
      <c r="D9" s="4">
        <v>0.045</v>
      </c>
    </row>
    <row r="10" spans="1:4" ht="12.75">
      <c r="A10" s="48" t="s">
        <v>837</v>
      </c>
      <c r="B10" s="353">
        <v>38</v>
      </c>
      <c r="C10" s="354">
        <v>38</v>
      </c>
      <c r="D10" s="355">
        <v>38</v>
      </c>
    </row>
    <row r="11" spans="1:2" ht="13.5">
      <c r="A11" s="234" t="s">
        <v>147</v>
      </c>
      <c r="B11" s="219" t="s">
        <v>502</v>
      </c>
    </row>
    <row r="12" spans="1:2" ht="13.5">
      <c r="A12" s="65"/>
      <c r="B12" s="219" t="s">
        <v>503</v>
      </c>
    </row>
    <row r="13" spans="1:2" ht="13.5">
      <c r="A13" s="65"/>
      <c r="B13" s="219" t="s">
        <v>504</v>
      </c>
    </row>
    <row r="14" spans="1:4" ht="12.75">
      <c r="A14" s="48" t="s">
        <v>509</v>
      </c>
      <c r="B14" s="2">
        <v>0.002</v>
      </c>
      <c r="C14" s="312">
        <v>0.002</v>
      </c>
      <c r="D14" s="4">
        <v>0.002</v>
      </c>
    </row>
    <row r="15" spans="1:4" ht="12.75">
      <c r="A15" s="48" t="s">
        <v>164</v>
      </c>
      <c r="B15" s="2">
        <v>0.001</v>
      </c>
      <c r="C15" s="312">
        <v>0.001</v>
      </c>
      <c r="D15" s="4">
        <v>0.001</v>
      </c>
    </row>
    <row r="16" spans="1:4" ht="12.75">
      <c r="A16" s="48" t="s">
        <v>523</v>
      </c>
      <c r="B16" s="2">
        <v>0.005</v>
      </c>
      <c r="C16" s="312">
        <v>0.005</v>
      </c>
      <c r="D16" s="4">
        <v>0.005</v>
      </c>
    </row>
    <row r="17" spans="1:4" ht="12.75">
      <c r="A17" s="48" t="s">
        <v>837</v>
      </c>
      <c r="B17" s="353">
        <v>0.1</v>
      </c>
      <c r="C17" s="354">
        <v>0.1</v>
      </c>
      <c r="D17" s="355">
        <v>0.1</v>
      </c>
    </row>
    <row r="18" ht="12.75">
      <c r="A18" s="48"/>
    </row>
    <row r="19" ht="15.75">
      <c r="A19" s="56" t="s">
        <v>518</v>
      </c>
    </row>
    <row r="20" spans="1:2" ht="13.5">
      <c r="A20" s="234" t="s">
        <v>481</v>
      </c>
      <c r="B20" s="219" t="s">
        <v>199</v>
      </c>
    </row>
    <row r="21" spans="1:4" ht="12.75">
      <c r="A21" s="48" t="s">
        <v>519</v>
      </c>
      <c r="B21" s="5" t="s">
        <v>141</v>
      </c>
      <c r="C21" s="6" t="s">
        <v>141</v>
      </c>
      <c r="D21" s="7" t="s">
        <v>141</v>
      </c>
    </row>
    <row r="22" spans="1:4" ht="12.75">
      <c r="A22" s="48" t="s">
        <v>172</v>
      </c>
      <c r="B22" s="198">
        <v>1.35</v>
      </c>
      <c r="C22" s="199">
        <v>1.35</v>
      </c>
      <c r="D22" s="200">
        <v>1.35</v>
      </c>
    </row>
    <row r="23" spans="1:4" ht="12.75">
      <c r="A23" s="48" t="s">
        <v>228</v>
      </c>
      <c r="B23" s="205" t="s">
        <v>480</v>
      </c>
      <c r="C23" s="206" t="s">
        <v>480</v>
      </c>
      <c r="D23" s="207" t="s">
        <v>480</v>
      </c>
    </row>
    <row r="24" spans="1:2" ht="13.5">
      <c r="A24" s="234" t="s">
        <v>193</v>
      </c>
      <c r="B24" s="219" t="s">
        <v>494</v>
      </c>
    </row>
    <row r="25" spans="1:2" ht="13.5">
      <c r="A25" s="65"/>
      <c r="B25" s="219" t="s">
        <v>495</v>
      </c>
    </row>
    <row r="26" spans="1:4" ht="12.75">
      <c r="A26" s="48" t="s">
        <v>482</v>
      </c>
      <c r="B26" s="5" t="s">
        <v>121</v>
      </c>
      <c r="C26" s="6" t="s">
        <v>121</v>
      </c>
      <c r="D26" s="7" t="s">
        <v>121</v>
      </c>
    </row>
    <row r="27" spans="1:2" ht="15.75" customHeight="1">
      <c r="A27" s="234" t="s">
        <v>472</v>
      </c>
      <c r="B27" s="219" t="s">
        <v>496</v>
      </c>
    </row>
    <row r="28" spans="1:5" ht="12.75">
      <c r="A28" s="48" t="s">
        <v>473</v>
      </c>
      <c r="B28" s="8">
        <v>0.847</v>
      </c>
      <c r="C28" s="9">
        <v>0.847</v>
      </c>
      <c r="D28" s="10">
        <v>0.847</v>
      </c>
      <c r="E28" s="473"/>
    </row>
    <row r="29" spans="1:5" ht="12.75">
      <c r="A29" s="48" t="s">
        <v>474</v>
      </c>
      <c r="B29" s="8">
        <v>1.65</v>
      </c>
      <c r="C29" s="9">
        <v>1.65</v>
      </c>
      <c r="D29" s="10">
        <v>1.65</v>
      </c>
      <c r="E29" s="473"/>
    </row>
    <row r="30" spans="1:2" ht="15.75" customHeight="1">
      <c r="A30" s="234" t="s">
        <v>475</v>
      </c>
      <c r="B30" s="219" t="s">
        <v>498</v>
      </c>
    </row>
    <row r="31" spans="1:2" ht="15.75" customHeight="1">
      <c r="A31" s="65"/>
      <c r="B31" s="219" t="s">
        <v>478</v>
      </c>
    </row>
    <row r="32" spans="1:4" ht="12.75">
      <c r="A32" s="48" t="s">
        <v>476</v>
      </c>
      <c r="B32" s="5" t="s">
        <v>130</v>
      </c>
      <c r="C32" s="6" t="s">
        <v>130</v>
      </c>
      <c r="D32" s="7" t="s">
        <v>130</v>
      </c>
    </row>
    <row r="33" spans="1:4" ht="12.75">
      <c r="A33" s="48" t="s">
        <v>477</v>
      </c>
      <c r="B33" s="5" t="s">
        <v>130</v>
      </c>
      <c r="C33" s="6" t="s">
        <v>130</v>
      </c>
      <c r="D33" s="7" t="s">
        <v>130</v>
      </c>
    </row>
    <row r="34" spans="1:4" ht="12.75">
      <c r="A34" s="48" t="s">
        <v>838</v>
      </c>
      <c r="B34" s="5" t="s">
        <v>141</v>
      </c>
      <c r="C34" s="6" t="s">
        <v>141</v>
      </c>
      <c r="D34" s="7" t="s">
        <v>141</v>
      </c>
    </row>
    <row r="35" spans="1:2" ht="15.75" customHeight="1">
      <c r="A35" s="234" t="s">
        <v>178</v>
      </c>
      <c r="B35" s="219" t="s">
        <v>499</v>
      </c>
    </row>
    <row r="36" spans="1:2" ht="15.75" customHeight="1">
      <c r="A36" s="65"/>
      <c r="B36" s="219" t="s">
        <v>500</v>
      </c>
    </row>
    <row r="37" spans="1:4" ht="12.75">
      <c r="A37" s="48" t="s">
        <v>160</v>
      </c>
      <c r="B37" s="5" t="s">
        <v>141</v>
      </c>
      <c r="C37" s="6" t="s">
        <v>141</v>
      </c>
      <c r="D37" s="7" t="s">
        <v>141</v>
      </c>
    </row>
    <row r="38" spans="1:4" ht="12.75">
      <c r="A38" s="47" t="s">
        <v>158</v>
      </c>
      <c r="B38" s="2">
        <v>0.66</v>
      </c>
      <c r="C38" s="3">
        <v>0.66</v>
      </c>
      <c r="D38" s="4">
        <v>0.66</v>
      </c>
    </row>
    <row r="39" spans="1:2" ht="15.75" customHeight="1">
      <c r="A39" s="234" t="s">
        <v>490</v>
      </c>
      <c r="B39" s="219" t="s">
        <v>505</v>
      </c>
    </row>
    <row r="40" spans="1:2" ht="15.75" customHeight="1">
      <c r="A40" s="65"/>
      <c r="B40" s="219" t="s">
        <v>506</v>
      </c>
    </row>
    <row r="41" spans="1:4" ht="12.75">
      <c r="A41" s="48" t="s">
        <v>492</v>
      </c>
      <c r="B41" s="5" t="s">
        <v>141</v>
      </c>
      <c r="C41" s="6" t="s">
        <v>141</v>
      </c>
      <c r="D41" s="7" t="s">
        <v>141</v>
      </c>
    </row>
    <row r="42" spans="1:4" ht="12.75">
      <c r="A42" s="48" t="s">
        <v>491</v>
      </c>
      <c r="B42" s="201">
        <v>0</v>
      </c>
      <c r="C42" s="202">
        <v>0</v>
      </c>
      <c r="D42" s="203">
        <v>0</v>
      </c>
    </row>
    <row r="43" spans="1:2" ht="13.5">
      <c r="A43" s="234" t="s">
        <v>195</v>
      </c>
      <c r="B43" s="219" t="s">
        <v>198</v>
      </c>
    </row>
    <row r="44" spans="1:4" ht="12.75">
      <c r="A44" s="48" t="s">
        <v>184</v>
      </c>
      <c r="B44" s="5" t="s">
        <v>141</v>
      </c>
      <c r="C44" s="6" t="s">
        <v>141</v>
      </c>
      <c r="D44" s="7" t="s">
        <v>141</v>
      </c>
    </row>
    <row r="45" spans="1:4" ht="12.75">
      <c r="A45" s="48" t="s">
        <v>185</v>
      </c>
      <c r="B45" s="5" t="s">
        <v>141</v>
      </c>
      <c r="C45" s="6" t="s">
        <v>141</v>
      </c>
      <c r="D45" s="7" t="s">
        <v>141</v>
      </c>
    </row>
    <row r="46" spans="1:2" ht="13.5">
      <c r="A46" s="48"/>
      <c r="B46" s="219" t="s">
        <v>200</v>
      </c>
    </row>
    <row r="47" spans="1:2" ht="13.5">
      <c r="A47" s="48"/>
      <c r="B47" s="219" t="s">
        <v>201</v>
      </c>
    </row>
    <row r="48" spans="1:4" ht="12.75">
      <c r="A48" s="48" t="s">
        <v>202</v>
      </c>
      <c r="B48" s="2">
        <v>0.002</v>
      </c>
      <c r="C48" s="3">
        <v>0.002</v>
      </c>
      <c r="D48" s="4">
        <v>0.002</v>
      </c>
    </row>
    <row r="49" spans="1:4" ht="12.75">
      <c r="A49" s="48" t="s">
        <v>196</v>
      </c>
      <c r="B49" s="2">
        <v>0.053</v>
      </c>
      <c r="C49" s="3">
        <v>0.053</v>
      </c>
      <c r="D49" s="4">
        <v>0.053</v>
      </c>
    </row>
    <row r="50" spans="1:4" ht="12.75">
      <c r="A50" s="48" t="s">
        <v>197</v>
      </c>
      <c r="B50" s="2">
        <v>0.12</v>
      </c>
      <c r="C50" s="3">
        <v>0.12</v>
      </c>
      <c r="D50" s="4">
        <v>0.12</v>
      </c>
    </row>
    <row r="51" ht="12.75">
      <c r="A51" s="48"/>
    </row>
    <row r="52" ht="15.75">
      <c r="A52" s="56" t="s">
        <v>403</v>
      </c>
    </row>
    <row r="53" spans="1:2" ht="13.5">
      <c r="A53" s="65" t="s">
        <v>404</v>
      </c>
      <c r="B53" s="219" t="s">
        <v>507</v>
      </c>
    </row>
    <row r="54" spans="1:2" ht="13.5">
      <c r="A54" s="65"/>
      <c r="B54" s="219" t="s">
        <v>508</v>
      </c>
    </row>
    <row r="55" spans="1:4" ht="12.75">
      <c r="A55" s="48" t="s">
        <v>405</v>
      </c>
      <c r="B55" s="5" t="s">
        <v>142</v>
      </c>
      <c r="C55" s="6" t="s">
        <v>142</v>
      </c>
      <c r="D55" s="7" t="s">
        <v>142</v>
      </c>
    </row>
    <row r="56" spans="1:4" ht="12.75">
      <c r="A56" s="212" t="s">
        <v>406</v>
      </c>
      <c r="B56" s="210">
        <v>0.4</v>
      </c>
      <c r="C56" s="213">
        <v>0.4</v>
      </c>
      <c r="D56" s="211">
        <v>0.4</v>
      </c>
    </row>
    <row r="57" spans="1:4" ht="12.75">
      <c r="A57" s="212" t="s">
        <v>407</v>
      </c>
      <c r="B57" s="210">
        <v>0.25</v>
      </c>
      <c r="C57" s="213">
        <v>0.25</v>
      </c>
      <c r="D57" s="211">
        <v>0.25</v>
      </c>
    </row>
    <row r="58" spans="1:4" ht="12.75">
      <c r="A58" s="212" t="s">
        <v>683</v>
      </c>
      <c r="B58" s="210">
        <v>0.07</v>
      </c>
      <c r="C58" s="213">
        <v>0.07</v>
      </c>
      <c r="D58" s="211">
        <v>0.07</v>
      </c>
    </row>
    <row r="59" spans="1:4" ht="12.75">
      <c r="A59" s="212" t="s">
        <v>684</v>
      </c>
      <c r="B59" s="210">
        <v>0.04</v>
      </c>
      <c r="C59" s="213">
        <v>0.04</v>
      </c>
      <c r="D59" s="211">
        <v>0.04</v>
      </c>
    </row>
    <row r="60" spans="1:4" ht="12.75">
      <c r="A60" s="212" t="s">
        <v>685</v>
      </c>
      <c r="B60" s="210">
        <v>0.06</v>
      </c>
      <c r="C60" s="213">
        <v>0.06</v>
      </c>
      <c r="D60" s="211">
        <v>0.06</v>
      </c>
    </row>
    <row r="61" spans="1:4" ht="13.5">
      <c r="A61" s="212"/>
      <c r="B61" s="219" t="s">
        <v>510</v>
      </c>
      <c r="C61" s="219"/>
      <c r="D61" s="219"/>
    </row>
    <row r="62" spans="1:4" ht="12.75">
      <c r="A62" s="48" t="s">
        <v>292</v>
      </c>
      <c r="B62" s="5" t="s">
        <v>142</v>
      </c>
      <c r="C62" s="6" t="s">
        <v>142</v>
      </c>
      <c r="D62" s="7" t="s">
        <v>142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40.7109375" style="0" customWidth="1"/>
    <col min="2" max="7" width="8.7109375" style="0" customWidth="1"/>
  </cols>
  <sheetData>
    <row r="1" spans="1:7" ht="14.25">
      <c r="A1" s="110" t="s">
        <v>627</v>
      </c>
      <c r="B1" s="178"/>
      <c r="F1" s="179">
        <v>2</v>
      </c>
      <c r="G1" s="110"/>
    </row>
    <row r="2" spans="1:7" ht="12.75">
      <c r="A2" s="180" t="s">
        <v>425</v>
      </c>
      <c r="B2" s="181">
        <f>$F$1</f>
        <v>2</v>
      </c>
      <c r="C2" s="182">
        <f>B$2+1</f>
        <v>3</v>
      </c>
      <c r="D2" s="182">
        <f>C$2+1</f>
        <v>4</v>
      </c>
      <c r="E2" s="182">
        <f>D$2+1</f>
        <v>5</v>
      </c>
      <c r="F2" s="182">
        <f>E$2+1</f>
        <v>6</v>
      </c>
      <c r="G2" s="182">
        <f>F$2+1</f>
        <v>7</v>
      </c>
    </row>
    <row r="3" spans="1:7" ht="15.75">
      <c r="A3" s="183" t="s">
        <v>426</v>
      </c>
      <c r="B3" s="181"/>
      <c r="C3" s="182"/>
      <c r="D3" s="182"/>
      <c r="E3" s="182"/>
      <c r="F3" s="182"/>
      <c r="G3" s="182"/>
    </row>
    <row r="4" spans="1:14" ht="12.75">
      <c r="A4" s="110" t="s">
        <v>427</v>
      </c>
      <c r="B4" s="184" t="str">
        <f ca="1">OFFSET(Data!$A$2,0,1+B$2)</f>
        <v>07/08</v>
      </c>
      <c r="C4" s="185" t="str">
        <f ca="1">OFFSET(Data!$A$2,0,1+C$2)</f>
        <v>08/09</v>
      </c>
      <c r="D4" s="185" t="str">
        <f ca="1">OFFSET(Data!$A$2,0,1+D$2)</f>
        <v>09/10 </v>
      </c>
      <c r="E4" s="185" t="str">
        <f ca="1">OFFSET(Data!$A$2,0,1+E$2)</f>
        <v>10/11</v>
      </c>
      <c r="F4" s="185" t="str">
        <f ca="1">OFFSET(Data!$A$2,0,1+F$2)</f>
        <v>11/12</v>
      </c>
      <c r="G4" s="185" t="str">
        <f ca="1">OFFSET(Data!$A$2,0,1+G$2)</f>
        <v>12/13</v>
      </c>
      <c r="K4" s="485"/>
      <c r="L4" s="485"/>
      <c r="M4" s="485"/>
      <c r="N4" s="485"/>
    </row>
    <row r="5" spans="1:7" ht="14.25">
      <c r="A5" s="186" t="s">
        <v>428</v>
      </c>
      <c r="B5" s="181"/>
      <c r="C5" s="182"/>
      <c r="D5" s="182"/>
      <c r="E5" s="182"/>
      <c r="F5" s="182"/>
      <c r="G5" s="182"/>
    </row>
    <row r="6" spans="1:7" ht="14.25">
      <c r="A6" s="186" t="s">
        <v>429</v>
      </c>
      <c r="B6" s="181"/>
      <c r="C6" s="182"/>
      <c r="D6" s="182"/>
      <c r="E6" s="182"/>
      <c r="F6" s="182"/>
      <c r="G6" s="182"/>
    </row>
    <row r="7" spans="1:7" ht="14.25">
      <c r="A7" s="186"/>
      <c r="B7" s="181"/>
      <c r="C7" s="182"/>
      <c r="D7" s="182"/>
      <c r="E7" s="182"/>
      <c r="F7" s="182"/>
      <c r="G7" s="182"/>
    </row>
    <row r="8" spans="1:7" ht="14.25">
      <c r="A8" s="186" t="s">
        <v>430</v>
      </c>
      <c r="B8" s="181"/>
      <c r="C8" s="182"/>
      <c r="D8" s="182"/>
      <c r="E8" s="182"/>
      <c r="F8" s="182"/>
      <c r="G8" s="182"/>
    </row>
    <row r="9" spans="1:9" ht="12.75">
      <c r="A9" s="72" t="s">
        <v>840</v>
      </c>
      <c r="B9" s="181"/>
      <c r="C9" s="187">
        <v>0</v>
      </c>
      <c r="D9" s="187">
        <v>0</v>
      </c>
      <c r="E9" s="187">
        <v>0</v>
      </c>
      <c r="F9" s="187">
        <v>0</v>
      </c>
      <c r="G9" s="187">
        <v>0</v>
      </c>
      <c r="I9" s="387"/>
    </row>
    <row r="10" spans="1:7" ht="12.75">
      <c r="A10" s="72" t="s">
        <v>841</v>
      </c>
      <c r="B10" s="181"/>
      <c r="C10" s="187">
        <v>0</v>
      </c>
      <c r="D10" s="187">
        <v>0</v>
      </c>
      <c r="E10" s="187">
        <v>0</v>
      </c>
      <c r="F10" s="187">
        <v>0</v>
      </c>
      <c r="G10" s="187">
        <v>0</v>
      </c>
    </row>
    <row r="11" spans="1:7" ht="12.75">
      <c r="A11" s="72" t="s">
        <v>842</v>
      </c>
      <c r="B11" s="181"/>
      <c r="C11" s="187">
        <v>0</v>
      </c>
      <c r="D11" s="187">
        <v>0</v>
      </c>
      <c r="E11" s="187">
        <v>0</v>
      </c>
      <c r="F11" s="187">
        <v>0</v>
      </c>
      <c r="G11" s="187">
        <v>0</v>
      </c>
    </row>
    <row r="12" spans="1:7" ht="12.75">
      <c r="A12" s="72" t="s">
        <v>899</v>
      </c>
      <c r="B12" s="181"/>
      <c r="C12" s="187">
        <v>0</v>
      </c>
      <c r="D12" s="187">
        <v>0</v>
      </c>
      <c r="E12" s="187">
        <v>0</v>
      </c>
      <c r="F12" s="187">
        <v>0</v>
      </c>
      <c r="G12" s="187">
        <v>0</v>
      </c>
    </row>
    <row r="13" spans="1:7" ht="12.75">
      <c r="A13" s="72" t="s">
        <v>900</v>
      </c>
      <c r="B13" s="181"/>
      <c r="C13" s="187">
        <v>0</v>
      </c>
      <c r="D13" s="187">
        <v>0</v>
      </c>
      <c r="E13" s="187">
        <v>0</v>
      </c>
      <c r="F13" s="187">
        <v>0</v>
      </c>
      <c r="G13" s="187">
        <v>0</v>
      </c>
    </row>
    <row r="14" spans="1:7" ht="12.75">
      <c r="A14" s="72" t="s">
        <v>843</v>
      </c>
      <c r="B14" s="181"/>
      <c r="C14" s="187">
        <v>0</v>
      </c>
      <c r="D14" s="187">
        <v>0</v>
      </c>
      <c r="E14" s="187">
        <v>0</v>
      </c>
      <c r="F14" s="187">
        <v>0</v>
      </c>
      <c r="G14" s="187">
        <v>0</v>
      </c>
    </row>
    <row r="15" spans="1:7" ht="14.25">
      <c r="A15" s="186" t="s">
        <v>861</v>
      </c>
      <c r="B15" s="181"/>
      <c r="C15" s="182"/>
      <c r="D15" s="182"/>
      <c r="E15" s="182"/>
      <c r="F15" s="182"/>
      <c r="G15" s="182"/>
    </row>
    <row r="16" spans="1:7" ht="12.75">
      <c r="A16" s="72" t="s">
        <v>431</v>
      </c>
      <c r="B16" s="181"/>
      <c r="C16" s="187">
        <v>0</v>
      </c>
      <c r="D16" s="187">
        <v>0</v>
      </c>
      <c r="E16" s="187">
        <v>0</v>
      </c>
      <c r="F16" s="187">
        <v>0</v>
      </c>
      <c r="G16" s="187">
        <v>0</v>
      </c>
    </row>
    <row r="17" spans="1:7" ht="14.25">
      <c r="A17" s="186" t="s">
        <v>432</v>
      </c>
      <c r="B17" s="181"/>
      <c r="C17" s="182"/>
      <c r="D17" s="182"/>
      <c r="E17" s="182"/>
      <c r="F17" s="182"/>
      <c r="G17" s="182"/>
    </row>
    <row r="18" spans="1:7" ht="12.75">
      <c r="A18" s="72" t="s">
        <v>433</v>
      </c>
      <c r="B18" s="181"/>
      <c r="C18" s="187">
        <v>0</v>
      </c>
      <c r="D18" s="187">
        <v>0</v>
      </c>
      <c r="E18" s="187">
        <v>0</v>
      </c>
      <c r="F18" s="187">
        <v>0</v>
      </c>
      <c r="G18" s="187">
        <v>0</v>
      </c>
    </row>
    <row r="19" spans="1:15" ht="12.75">
      <c r="A19" s="72" t="s">
        <v>434</v>
      </c>
      <c r="B19" s="181"/>
      <c r="C19" s="187">
        <v>0</v>
      </c>
      <c r="D19" s="187">
        <v>0</v>
      </c>
      <c r="E19" s="187">
        <v>0</v>
      </c>
      <c r="F19" s="187">
        <v>0</v>
      </c>
      <c r="G19" s="187">
        <v>0</v>
      </c>
      <c r="K19" s="118"/>
      <c r="L19" s="118"/>
      <c r="M19" s="118"/>
      <c r="N19" s="118"/>
      <c r="O19" s="118"/>
    </row>
    <row r="20" spans="1:15" ht="12.75">
      <c r="A20" s="72" t="s">
        <v>435</v>
      </c>
      <c r="B20" s="181"/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K20" s="118"/>
      <c r="L20" s="118"/>
      <c r="M20" s="118"/>
      <c r="N20" s="118"/>
      <c r="O20" s="118"/>
    </row>
    <row r="21" spans="1:15" ht="12.75">
      <c r="A21" s="180"/>
      <c r="B21" s="181"/>
      <c r="C21" s="182"/>
      <c r="D21" s="182"/>
      <c r="E21" s="182"/>
      <c r="F21" s="182"/>
      <c r="G21" s="182"/>
      <c r="K21" s="118"/>
      <c r="L21" s="118"/>
      <c r="M21" s="118"/>
      <c r="N21" s="118"/>
      <c r="O21" s="118"/>
    </row>
    <row r="22" spans="1:2" ht="12.75">
      <c r="A22" s="180"/>
      <c r="B22" s="181"/>
    </row>
    <row r="23" ht="15.75">
      <c r="A23" s="183" t="s">
        <v>264</v>
      </c>
    </row>
    <row r="24" spans="1:14" ht="12.75">
      <c r="A24" s="110" t="s">
        <v>427</v>
      </c>
      <c r="B24" s="184" t="str">
        <f aca="true" t="shared" si="0" ref="B24:G24">B$4</f>
        <v>07/08</v>
      </c>
      <c r="C24" s="185" t="str">
        <f t="shared" si="0"/>
        <v>08/09</v>
      </c>
      <c r="D24" s="185" t="str">
        <f t="shared" si="0"/>
        <v>09/10 </v>
      </c>
      <c r="E24" s="185" t="str">
        <f t="shared" si="0"/>
        <v>10/11</v>
      </c>
      <c r="F24" s="185" t="str">
        <f t="shared" si="0"/>
        <v>11/12</v>
      </c>
      <c r="G24" s="185" t="str">
        <f t="shared" si="0"/>
        <v>12/13</v>
      </c>
      <c r="I24" s="184" t="str">
        <f>B$24</f>
        <v>07/08</v>
      </c>
      <c r="J24" s="185" t="str">
        <f>C$24</f>
        <v>08/09</v>
      </c>
      <c r="K24" s="185" t="str">
        <f>D$24</f>
        <v>09/10 </v>
      </c>
      <c r="L24" s="185" t="str">
        <f>E$24</f>
        <v>10/11</v>
      </c>
      <c r="M24" s="185" t="str">
        <f>F$24</f>
        <v>11/12</v>
      </c>
      <c r="N24" s="185" t="str">
        <f>G$24</f>
        <v>12/13</v>
      </c>
    </row>
    <row r="25" spans="1:9" ht="14.25">
      <c r="A25" s="186" t="s">
        <v>877</v>
      </c>
      <c r="B25" s="184"/>
      <c r="C25" s="185"/>
      <c r="D25" s="185"/>
      <c r="E25" s="185"/>
      <c r="F25" s="185"/>
      <c r="G25" s="185"/>
      <c r="I25" s="186" t="s">
        <v>878</v>
      </c>
    </row>
    <row r="26" spans="1:14" ht="12.75">
      <c r="A26" s="72" t="s">
        <v>166</v>
      </c>
      <c r="B26" s="101">
        <v>135.862</v>
      </c>
      <c r="C26" s="177">
        <v>133.32245208754475</v>
      </c>
      <c r="D26" s="177">
        <v>132.30517142968054</v>
      </c>
      <c r="E26" s="177">
        <v>135.11712506529886</v>
      </c>
      <c r="F26" s="177">
        <v>139.63046796429018</v>
      </c>
      <c r="G26" s="177">
        <v>145.2091180405893</v>
      </c>
      <c r="I26" s="101">
        <f ca="1">OFFSET(Data!$A$199,0,B$2+1)</f>
        <v>135.862</v>
      </c>
      <c r="J26" s="177">
        <f ca="1">OFFSET(Data!$A$199,0,C$2+1)</f>
        <v>133.32245208754475</v>
      </c>
      <c r="K26" s="177">
        <f ca="1">OFFSET(Data!$A$199,0,D$2+1)</f>
        <v>132.30517142968054</v>
      </c>
      <c r="L26" s="177">
        <f ca="1">OFFSET(Data!$A$199,0,E$2+1)</f>
        <v>135.11712506529886</v>
      </c>
      <c r="M26" s="177">
        <f ca="1">OFFSET(Data!$A$199,0,F$2+1)</f>
        <v>139.63046796429018</v>
      </c>
      <c r="N26" s="177">
        <f ca="1">OFFSET(Data!$A$199,0,G$2+1)</f>
        <v>145.2091180405893</v>
      </c>
    </row>
    <row r="27" spans="1:14" ht="12.75">
      <c r="A27" s="72" t="s">
        <v>129</v>
      </c>
      <c r="B27" s="101">
        <v>179.227</v>
      </c>
      <c r="C27" s="177">
        <v>178.52340823084847</v>
      </c>
      <c r="D27" s="177">
        <v>175.05111271510674</v>
      </c>
      <c r="E27" s="177">
        <v>182.71683543145713</v>
      </c>
      <c r="F27" s="177">
        <v>191.52822151109365</v>
      </c>
      <c r="G27" s="177">
        <v>202.52444670884748</v>
      </c>
      <c r="I27" s="101">
        <f ca="1">OFFSET(Data!$A$200,0,B$2+1)</f>
        <v>179.227</v>
      </c>
      <c r="J27" s="177">
        <f ca="1">OFFSET(Data!$A$200,0,C$2+1)</f>
        <v>178.52340823084847</v>
      </c>
      <c r="K27" s="177">
        <f ca="1">OFFSET(Data!$A$200,0,D$2+1)</f>
        <v>175.05111271510674</v>
      </c>
      <c r="L27" s="177">
        <f ca="1">OFFSET(Data!$A$200,0,E$2+1)</f>
        <v>182.71683543145713</v>
      </c>
      <c r="M27" s="177">
        <f ca="1">OFFSET(Data!$A$200,0,F$2+1)</f>
        <v>191.52822151109365</v>
      </c>
      <c r="N27" s="177">
        <f ca="1">OFFSET(Data!$A$200,0,G$2+1)</f>
        <v>202.52444670884748</v>
      </c>
    </row>
    <row r="28" spans="1:14" ht="12.75">
      <c r="A28" s="72" t="s">
        <v>130</v>
      </c>
      <c r="B28" s="377">
        <v>1061</v>
      </c>
      <c r="C28" s="378">
        <v>1080.9</v>
      </c>
      <c r="D28" s="378">
        <v>1108.1460000000002</v>
      </c>
      <c r="E28" s="378">
        <v>1122.571</v>
      </c>
      <c r="F28" s="378">
        <v>1136.234</v>
      </c>
      <c r="G28" s="378">
        <v>1155.6090000000002</v>
      </c>
      <c r="I28" s="377">
        <f ca="1">OFFSET(Data!$A$201,0,B$2+1)</f>
        <v>1061</v>
      </c>
      <c r="J28" s="378">
        <f ca="1">OFFSET(Data!$A$201,0,C$2+1)</f>
        <v>1080.9</v>
      </c>
      <c r="K28" s="378">
        <f ca="1">OFFSET(Data!$A$201,0,D$2+1)</f>
        <v>1108.1460000000002</v>
      </c>
      <c r="L28" s="378">
        <f ca="1">OFFSET(Data!$A$201,0,E$2+1)</f>
        <v>1122.571</v>
      </c>
      <c r="M28" s="378">
        <f ca="1">OFFSET(Data!$A$201,0,F$2+1)</f>
        <v>1136.234</v>
      </c>
      <c r="N28" s="378">
        <f ca="1">OFFSET(Data!$A$201,0,G$2+1)</f>
        <v>1155.6090000000002</v>
      </c>
    </row>
    <row r="29" spans="1:14" ht="12.75">
      <c r="A29" s="72" t="s">
        <v>131</v>
      </c>
      <c r="B29" s="379">
        <v>2.2395</v>
      </c>
      <c r="C29" s="380">
        <v>2.2745</v>
      </c>
      <c r="D29" s="380">
        <v>2.2423</v>
      </c>
      <c r="E29" s="380">
        <v>2.2263</v>
      </c>
      <c r="F29" s="380">
        <v>2.2476</v>
      </c>
      <c r="G29" s="380">
        <v>2.296</v>
      </c>
      <c r="I29" s="379">
        <f ca="1">OFFSET(Data!$A$202,0,B$2+1)</f>
        <v>2.2395</v>
      </c>
      <c r="J29" s="380">
        <f ca="1">OFFSET(Data!$A$202,0,C$2+1)</f>
        <v>2.2745</v>
      </c>
      <c r="K29" s="380">
        <f ca="1">OFFSET(Data!$A$202,0,D$2+1)</f>
        <v>2.2423</v>
      </c>
      <c r="L29" s="380">
        <f ca="1">OFFSET(Data!$A$202,0,E$2+1)</f>
        <v>2.2263</v>
      </c>
      <c r="M29" s="380">
        <f ca="1">OFFSET(Data!$A$202,0,F$2+1)</f>
        <v>2.2476</v>
      </c>
      <c r="N29" s="380">
        <f ca="1">OFFSET(Data!$A$202,0,G$2+1)</f>
        <v>2.296</v>
      </c>
    </row>
    <row r="30" spans="1:14" ht="12.75">
      <c r="A30" s="72" t="s">
        <v>132</v>
      </c>
      <c r="B30" s="381">
        <v>0.0363</v>
      </c>
      <c r="C30" s="382">
        <v>0.0485</v>
      </c>
      <c r="D30" s="382">
        <v>0.0715</v>
      </c>
      <c r="E30" s="382">
        <v>0.0765</v>
      </c>
      <c r="F30" s="382">
        <v>0.0647</v>
      </c>
      <c r="G30" s="382">
        <v>0.0523</v>
      </c>
      <c r="I30" s="381">
        <f ca="1">OFFSET(Data!$A$203,0,B$2+1)</f>
        <v>0.0363</v>
      </c>
      <c r="J30" s="382">
        <f ca="1">OFFSET(Data!$A$203,0,C$2+1)</f>
        <v>0.0485</v>
      </c>
      <c r="K30" s="382">
        <f ca="1">OFFSET(Data!$A$203,0,D$2+1)</f>
        <v>0.0715</v>
      </c>
      <c r="L30" s="382">
        <f ca="1">OFFSET(Data!$A$203,0,E$2+1)</f>
        <v>0.0765</v>
      </c>
      <c r="M30" s="382">
        <f ca="1">OFFSET(Data!$A$203,0,F$2+1)</f>
        <v>0.0647</v>
      </c>
      <c r="N30" s="382">
        <f ca="1">OFFSET(Data!$A$203,0,G$2+1)</f>
        <v>0.0523</v>
      </c>
    </row>
    <row r="31" spans="1:14" ht="12.75">
      <c r="A31" s="72" t="s">
        <v>133</v>
      </c>
      <c r="B31" s="375">
        <v>38</v>
      </c>
      <c r="C31" s="376">
        <v>37.7</v>
      </c>
      <c r="D31" s="376">
        <v>37.9</v>
      </c>
      <c r="E31" s="376">
        <v>38.3</v>
      </c>
      <c r="F31" s="376">
        <v>38.2</v>
      </c>
      <c r="G31" s="376">
        <v>38.1</v>
      </c>
      <c r="I31" s="375">
        <f ca="1">OFFSET(Data!$A$204,0,B$2+1)</f>
        <v>38</v>
      </c>
      <c r="J31" s="376">
        <f ca="1">OFFSET(Data!$A$204,0,C$2+1)</f>
        <v>37.7</v>
      </c>
      <c r="K31" s="376">
        <f ca="1">OFFSET(Data!$A$204,0,D$2+1)</f>
        <v>37.9</v>
      </c>
      <c r="L31" s="376">
        <f ca="1">OFFSET(Data!$A$204,0,E$2+1)</f>
        <v>38.3</v>
      </c>
      <c r="M31" s="376">
        <f ca="1">OFFSET(Data!$A$204,0,F$2+1)</f>
        <v>38.2</v>
      </c>
      <c r="N31" s="376">
        <f ca="1">OFFSET(Data!$A$204,0,G$2+1)</f>
        <v>38.1</v>
      </c>
    </row>
    <row r="32" spans="1:14" ht="12.75">
      <c r="A32" s="72" t="s">
        <v>223</v>
      </c>
      <c r="B32" s="381">
        <v>0.0259</v>
      </c>
      <c r="C32" s="382">
        <v>-0.0035</v>
      </c>
      <c r="D32" s="382">
        <v>0.0302</v>
      </c>
      <c r="E32" s="382">
        <v>0.0255</v>
      </c>
      <c r="F32" s="382">
        <v>0.0125</v>
      </c>
      <c r="G32" s="382">
        <v>0.0071</v>
      </c>
      <c r="I32" s="381">
        <f ca="1">OFFSET(Data!$A$205,0,B$2+1)</f>
        <v>0.0259</v>
      </c>
      <c r="J32" s="382">
        <f ca="1">OFFSET(Data!$A$205,0,C$2+1)</f>
        <v>-0.0035</v>
      </c>
      <c r="K32" s="382">
        <f ca="1">OFFSET(Data!$A$205,0,D$2+1)</f>
        <v>0.0302</v>
      </c>
      <c r="L32" s="382">
        <f ca="1">OFFSET(Data!$A$205,0,E$2+1)</f>
        <v>0.0255</v>
      </c>
      <c r="M32" s="382">
        <f ca="1">OFFSET(Data!$A$205,0,F$2+1)</f>
        <v>0.0125</v>
      </c>
      <c r="N32" s="382">
        <f ca="1">OFFSET(Data!$A$205,0,G$2+1)</f>
        <v>0.0071</v>
      </c>
    </row>
    <row r="33" spans="1:14" ht="12.75">
      <c r="A33" s="72" t="s">
        <v>224</v>
      </c>
      <c r="B33" s="381">
        <v>0.0451</v>
      </c>
      <c r="C33" s="382">
        <v>0.0461</v>
      </c>
      <c r="D33" s="382">
        <v>0.0217</v>
      </c>
      <c r="E33" s="382">
        <v>0.0131</v>
      </c>
      <c r="F33" s="382">
        <v>0.0126</v>
      </c>
      <c r="G33" s="382">
        <v>0.0158</v>
      </c>
      <c r="I33" s="381">
        <f ca="1">OFFSET(Data!$A$206,0,B$2+1)</f>
        <v>0.0451</v>
      </c>
      <c r="J33" s="382">
        <f ca="1">OFFSET(Data!$A$206,0,C$2+1)</f>
        <v>0.0461</v>
      </c>
      <c r="K33" s="382">
        <f ca="1">OFFSET(Data!$A$206,0,D$2+1)</f>
        <v>0.0217</v>
      </c>
      <c r="L33" s="382">
        <f ca="1">OFFSET(Data!$A$206,0,E$2+1)</f>
        <v>0.0131</v>
      </c>
      <c r="M33" s="382">
        <f ca="1">OFFSET(Data!$A$206,0,F$2+1)</f>
        <v>0.0126</v>
      </c>
      <c r="N33" s="382">
        <f ca="1">OFFSET(Data!$A$206,0,G$2+1)</f>
        <v>0.0158</v>
      </c>
    </row>
    <row r="34" spans="1:14" ht="12.75">
      <c r="A34" s="72" t="s">
        <v>225</v>
      </c>
      <c r="B34" s="373">
        <v>861.55</v>
      </c>
      <c r="C34" s="374">
        <v>905.74</v>
      </c>
      <c r="D34" s="374">
        <v>927.37</v>
      </c>
      <c r="E34" s="374">
        <v>948.49</v>
      </c>
      <c r="F34" s="374">
        <v>958.62</v>
      </c>
      <c r="G34" s="374">
        <v>970.65</v>
      </c>
      <c r="I34" s="373">
        <f ca="1">OFFSET(Data!$A$207,0,B$2+1)</f>
        <v>861.55</v>
      </c>
      <c r="J34" s="374">
        <f ca="1">OFFSET(Data!$A$207,0,C$2+1)</f>
        <v>905.74</v>
      </c>
      <c r="K34" s="374">
        <f ca="1">OFFSET(Data!$A$207,0,D$2+1)</f>
        <v>927.37</v>
      </c>
      <c r="L34" s="374">
        <f ca="1">OFFSET(Data!$A$207,0,E$2+1)</f>
        <v>948.49</v>
      </c>
      <c r="M34" s="374">
        <f ca="1">OFFSET(Data!$A$207,0,F$2+1)</f>
        <v>958.62</v>
      </c>
      <c r="N34" s="374">
        <f ca="1">OFFSET(Data!$A$207,0,G$2+1)</f>
        <v>970.65</v>
      </c>
    </row>
    <row r="35" spans="1:14" ht="12.75">
      <c r="A35" s="72" t="s">
        <v>876</v>
      </c>
      <c r="B35" s="381">
        <v>0.0687</v>
      </c>
      <c r="C35" s="382">
        <v>0.0492</v>
      </c>
      <c r="D35" s="382">
        <v>0.0443</v>
      </c>
      <c r="E35" s="382">
        <v>0.0466</v>
      </c>
      <c r="F35" s="382">
        <v>0.0515</v>
      </c>
      <c r="G35" s="382">
        <v>0.0562</v>
      </c>
      <c r="I35" s="381">
        <f ca="1">OFFSET(Data!$A$208,0,B$2+1)</f>
        <v>0.0687</v>
      </c>
      <c r="J35" s="382">
        <f ca="1">OFFSET(Data!$A$208,0,C$2+1)</f>
        <v>0.0492</v>
      </c>
      <c r="K35" s="382">
        <f ca="1">OFFSET(Data!$A$208,0,D$2+1)</f>
        <v>0.0443</v>
      </c>
      <c r="L35" s="382">
        <f ca="1">OFFSET(Data!$A$208,0,E$2+1)</f>
        <v>0.0466</v>
      </c>
      <c r="M35" s="382">
        <f ca="1">OFFSET(Data!$A$208,0,F$2+1)</f>
        <v>0.0515</v>
      </c>
      <c r="N35" s="382">
        <f ca="1">OFFSET(Data!$A$208,0,G$2+1)</f>
        <v>0.0562</v>
      </c>
    </row>
    <row r="36" spans="1:14" ht="14.25">
      <c r="A36" s="186" t="s">
        <v>901</v>
      </c>
      <c r="B36" s="184"/>
      <c r="C36" s="185"/>
      <c r="D36" s="185"/>
      <c r="E36" s="185"/>
      <c r="F36" s="185"/>
      <c r="G36" s="382"/>
      <c r="I36" s="186" t="s">
        <v>903</v>
      </c>
      <c r="J36" s="382"/>
      <c r="K36" s="382"/>
      <c r="L36" s="382"/>
      <c r="M36" s="382"/>
      <c r="N36" s="382"/>
    </row>
    <row r="37" spans="1:14" ht="12.75">
      <c r="A37" s="72" t="s">
        <v>157</v>
      </c>
      <c r="B37" s="373">
        <v>664.02</v>
      </c>
      <c r="C37" s="374">
        <v>723.19</v>
      </c>
      <c r="D37" s="374">
        <v>739.35</v>
      </c>
      <c r="E37" s="374">
        <v>753.19</v>
      </c>
      <c r="F37" s="374">
        <v>759.85</v>
      </c>
      <c r="G37" s="374">
        <v>767.71</v>
      </c>
      <c r="I37" s="373">
        <f ca="1">OFFSET(Data!$A$194,0,B$2+1)</f>
        <v>664.02</v>
      </c>
      <c r="J37" s="374">
        <f ca="1">OFFSET(Data!$A$194,0,C$2+1)</f>
        <v>723.19</v>
      </c>
      <c r="K37" s="374">
        <f ca="1">OFFSET(Data!$A$194,0,D$2+1)</f>
        <v>739.35</v>
      </c>
      <c r="L37" s="374">
        <f ca="1">OFFSET(Data!$A$194,0,E$2+1)</f>
        <v>753.19</v>
      </c>
      <c r="M37" s="374">
        <f ca="1">OFFSET(Data!$A$194,0,F$2+1)</f>
        <v>759.85</v>
      </c>
      <c r="N37" s="374">
        <f ca="1">OFFSET(Data!$A$194,0,G$2+1)</f>
        <v>767.71</v>
      </c>
    </row>
    <row r="38" spans="1:14" ht="12.75">
      <c r="A38" s="72" t="s">
        <v>902</v>
      </c>
      <c r="B38" s="373">
        <v>219.9</v>
      </c>
      <c r="C38" s="374">
        <v>239.19</v>
      </c>
      <c r="D38" s="374">
        <v>243.99</v>
      </c>
      <c r="E38" s="374">
        <v>249.11</v>
      </c>
      <c r="F38" s="374">
        <v>252.1</v>
      </c>
      <c r="G38" s="374">
        <v>255.63</v>
      </c>
      <c r="I38" s="373">
        <f ca="1">OFFSET(Data!$A$195,0,B$2+1)</f>
        <v>219.9</v>
      </c>
      <c r="J38" s="374">
        <f ca="1">OFFSET(Data!$A$195,0,C$2+1)</f>
        <v>239.19</v>
      </c>
      <c r="K38" s="374">
        <f ca="1">OFFSET(Data!$A$195,0,D$2+1)</f>
        <v>243.99</v>
      </c>
      <c r="L38" s="374">
        <f ca="1">OFFSET(Data!$A$195,0,E$2+1)</f>
        <v>249.11</v>
      </c>
      <c r="M38" s="374">
        <f ca="1">OFFSET(Data!$A$195,0,F$2+1)</f>
        <v>252.1</v>
      </c>
      <c r="N38" s="374">
        <f ca="1">OFFSET(Data!$A$195,0,G$2+1)</f>
        <v>255.63</v>
      </c>
    </row>
    <row r="39" spans="1:14" ht="12.75">
      <c r="A39" s="72"/>
      <c r="B39" s="373"/>
      <c r="C39" s="374"/>
      <c r="D39" s="374"/>
      <c r="E39" s="374"/>
      <c r="F39" s="374"/>
      <c r="G39" s="374"/>
      <c r="I39" s="373"/>
      <c r="J39" s="374"/>
      <c r="K39" s="374"/>
      <c r="L39" s="374"/>
      <c r="M39" s="374"/>
      <c r="N39" s="374"/>
    </row>
    <row r="40" spans="1:14" ht="15">
      <c r="A40" s="188" t="s">
        <v>438</v>
      </c>
      <c r="B40" s="186" t="s">
        <v>439</v>
      </c>
      <c r="C40" s="72"/>
      <c r="D40" s="72"/>
      <c r="E40" s="98"/>
      <c r="F40" s="72"/>
      <c r="G40" s="98"/>
      <c r="I40" s="373"/>
      <c r="J40" s="374"/>
      <c r="K40" s="374"/>
      <c r="L40" s="374"/>
      <c r="M40" s="374"/>
      <c r="N40" s="374"/>
    </row>
    <row r="41" spans="1:14" ht="14.25">
      <c r="A41" s="189" t="s">
        <v>440</v>
      </c>
      <c r="B41" s="184" t="str">
        <f aca="true" t="shared" si="1" ref="B41:G41">B$24</f>
        <v>07/08</v>
      </c>
      <c r="C41" s="185" t="str">
        <f t="shared" si="1"/>
        <v>08/09</v>
      </c>
      <c r="D41" s="185" t="str">
        <f t="shared" si="1"/>
        <v>09/10 </v>
      </c>
      <c r="E41" s="185" t="str">
        <f t="shared" si="1"/>
        <v>10/11</v>
      </c>
      <c r="F41" s="185" t="str">
        <f t="shared" si="1"/>
        <v>11/12</v>
      </c>
      <c r="G41" s="185" t="str">
        <f t="shared" si="1"/>
        <v>12/13</v>
      </c>
      <c r="I41" s="373"/>
      <c r="J41" s="374"/>
      <c r="K41" s="374"/>
      <c r="L41" s="374"/>
      <c r="M41" s="374"/>
      <c r="N41" s="374"/>
    </row>
    <row r="42" spans="1:14" ht="12.75">
      <c r="A42" s="72" t="s">
        <v>904</v>
      </c>
      <c r="B42" s="184"/>
      <c r="C42" s="162">
        <f>(C$27/B$27)/(J$27/I$27)</f>
        <v>1</v>
      </c>
      <c r="D42" s="162">
        <f>(D$27/C$27)/(K$27/J$27)</f>
        <v>1</v>
      </c>
      <c r="E42" s="162">
        <f>(E$27/D$27)/(L$27/K$27)</f>
        <v>1</v>
      </c>
      <c r="F42" s="162">
        <f>(F$27/E$27)/(M$27/L$27)</f>
        <v>1</v>
      </c>
      <c r="G42" s="162">
        <f>(G$27/F$27)/(N$27/M$27)</f>
        <v>1</v>
      </c>
      <c r="I42" s="373"/>
      <c r="J42" s="374"/>
      <c r="K42" s="374"/>
      <c r="L42" s="374"/>
      <c r="M42" s="374"/>
      <c r="N42" s="374"/>
    </row>
    <row r="43" spans="1:14" ht="12.75">
      <c r="A43" s="72" t="s">
        <v>905</v>
      </c>
      <c r="B43" s="184"/>
      <c r="C43" s="162">
        <f>PRODUCT($C$42:C$42)</f>
        <v>1</v>
      </c>
      <c r="D43" s="162">
        <f>PRODUCT($C$42:D$42)</f>
        <v>1</v>
      </c>
      <c r="E43" s="162">
        <f>PRODUCT($C$42:E$42)</f>
        <v>1</v>
      </c>
      <c r="F43" s="162">
        <f>PRODUCT($C$42:F$42)</f>
        <v>1</v>
      </c>
      <c r="G43" s="162">
        <f>PRODUCT($C$42:G$42)</f>
        <v>1</v>
      </c>
      <c r="I43" s="373"/>
      <c r="J43" s="374"/>
      <c r="K43" s="374"/>
      <c r="L43" s="374"/>
      <c r="M43" s="374"/>
      <c r="N43" s="374"/>
    </row>
    <row r="44" spans="1:14" ht="12.75">
      <c r="A44" s="72" t="s">
        <v>907</v>
      </c>
      <c r="B44" s="184"/>
      <c r="C44" s="162">
        <f>(C$28/B$28)/(J$28/I$28)</f>
        <v>1</v>
      </c>
      <c r="D44" s="162">
        <f>(D$28/C$28)/(K$28/J$28)</f>
        <v>1</v>
      </c>
      <c r="E44" s="162">
        <f>(E$28/D$28)/(L$28/K$28)</f>
        <v>1</v>
      </c>
      <c r="F44" s="162">
        <f>(F$28/E$28)/(M$28/L$28)</f>
        <v>1</v>
      </c>
      <c r="G44" s="162">
        <f>(G$28/F$28)/(N$28/M$28)</f>
        <v>1</v>
      </c>
      <c r="I44" s="373"/>
      <c r="J44" s="374"/>
      <c r="K44" s="374"/>
      <c r="L44" s="374"/>
      <c r="M44" s="374"/>
      <c r="N44" s="374"/>
    </row>
    <row r="45" spans="1:14" ht="12.75">
      <c r="A45" s="72" t="s">
        <v>908</v>
      </c>
      <c r="B45" s="184"/>
      <c r="C45" s="162">
        <f>PRODUCT($C$44:C$44)</f>
        <v>1</v>
      </c>
      <c r="D45" s="162">
        <f>PRODUCT($C$44:D$44)</f>
        <v>1</v>
      </c>
      <c r="E45" s="162">
        <f>PRODUCT($C$44:E$44)</f>
        <v>1</v>
      </c>
      <c r="F45" s="162">
        <f>PRODUCT($C$44:F$44)</f>
        <v>1</v>
      </c>
      <c r="G45" s="162">
        <f>PRODUCT($C$44:G$44)</f>
        <v>1</v>
      </c>
      <c r="I45" s="373"/>
      <c r="J45" s="374"/>
      <c r="K45" s="374"/>
      <c r="L45" s="374"/>
      <c r="M45" s="374"/>
      <c r="N45" s="374"/>
    </row>
    <row r="46" spans="1:14" ht="12.75">
      <c r="A46" s="72" t="s">
        <v>906</v>
      </c>
      <c r="B46" s="184"/>
      <c r="C46" s="162">
        <f>C$35/J$35</f>
        <v>1</v>
      </c>
      <c r="D46" s="162">
        <f>D$35/K$35</f>
        <v>1</v>
      </c>
      <c r="E46" s="162">
        <f>E$35/L$35</f>
        <v>1</v>
      </c>
      <c r="F46" s="162">
        <f>F$35/M$35</f>
        <v>1</v>
      </c>
      <c r="G46" s="162">
        <f>G$35/N$35</f>
        <v>1</v>
      </c>
      <c r="I46" s="373"/>
      <c r="J46" s="374"/>
      <c r="K46" s="374"/>
      <c r="L46" s="374"/>
      <c r="M46" s="374"/>
      <c r="N46" s="374"/>
    </row>
    <row r="47" spans="1:14" ht="12.75">
      <c r="A47" s="72" t="s">
        <v>924</v>
      </c>
      <c r="B47" s="184"/>
      <c r="C47" s="162">
        <f>(1+C$32)/(1+J$32)</f>
        <v>1</v>
      </c>
      <c r="D47" s="162">
        <f>(1+D$32)/(1+K$32)</f>
        <v>1</v>
      </c>
      <c r="E47" s="162">
        <f>(1+E$32)/(1+L$32)</f>
        <v>1</v>
      </c>
      <c r="F47" s="162">
        <f>(1+F$32)/(1+M$32)</f>
        <v>1</v>
      </c>
      <c r="G47" s="162">
        <f>(1+G$32)/(1+N$32)</f>
        <v>1</v>
      </c>
      <c r="I47" s="373"/>
      <c r="J47" s="374"/>
      <c r="K47" s="374"/>
      <c r="L47" s="374"/>
      <c r="M47" s="374"/>
      <c r="N47" s="374"/>
    </row>
    <row r="48" spans="1:14" ht="12.75">
      <c r="A48" s="72" t="s">
        <v>925</v>
      </c>
      <c r="B48" s="184"/>
      <c r="C48" s="162">
        <f>PRODUCT($C$47:C$47)</f>
        <v>1</v>
      </c>
      <c r="D48" s="162">
        <f>PRODUCT($C$47:D$47)</f>
        <v>1</v>
      </c>
      <c r="E48" s="162">
        <f>PRODUCT($C$47:E$47)</f>
        <v>1</v>
      </c>
      <c r="F48" s="162">
        <f>PRODUCT($C$47:F$47)</f>
        <v>1</v>
      </c>
      <c r="G48" s="162">
        <f>PRODUCT($C$47:G$47)</f>
        <v>1</v>
      </c>
      <c r="I48" s="373"/>
      <c r="J48" s="374"/>
      <c r="K48" s="374"/>
      <c r="L48" s="374"/>
      <c r="M48" s="374"/>
      <c r="N48" s="374"/>
    </row>
    <row r="49" spans="1:14" ht="12.75">
      <c r="A49" s="72" t="s">
        <v>926</v>
      </c>
      <c r="B49" s="184"/>
      <c r="C49" s="162">
        <f>(1+C$33)/(1+J$33)</f>
        <v>1</v>
      </c>
      <c r="D49" s="162">
        <f>(1+D$33)/(1+K$33)</f>
        <v>1</v>
      </c>
      <c r="E49" s="162">
        <f>(1+E$33)/(1+L$33)</f>
        <v>1</v>
      </c>
      <c r="F49" s="162">
        <f>(1+F$33)/(1+M$33)</f>
        <v>1</v>
      </c>
      <c r="G49" s="162">
        <f>(1+G$33)/(1+N$33)</f>
        <v>1</v>
      </c>
      <c r="I49" s="373"/>
      <c r="J49" s="374"/>
      <c r="K49" s="374"/>
      <c r="L49" s="374"/>
      <c r="M49" s="374"/>
      <c r="N49" s="374"/>
    </row>
    <row r="50" spans="1:14" ht="12.75">
      <c r="A50" s="72" t="s">
        <v>910</v>
      </c>
      <c r="B50" s="184"/>
      <c r="C50" s="162">
        <f>PRODUCT($C$49:C$49)</f>
        <v>1</v>
      </c>
      <c r="D50" s="162">
        <f>PRODUCT($C$49:D$49)</f>
        <v>1</v>
      </c>
      <c r="E50" s="162">
        <f>PRODUCT($C$49:E$49)</f>
        <v>1</v>
      </c>
      <c r="F50" s="162">
        <f>PRODUCT($C$49:F$49)</f>
        <v>1</v>
      </c>
      <c r="G50" s="162">
        <f>PRODUCT($C$49:G$49)</f>
        <v>1</v>
      </c>
      <c r="I50" s="373"/>
      <c r="J50" s="374"/>
      <c r="K50" s="374"/>
      <c r="L50" s="374"/>
      <c r="M50" s="374"/>
      <c r="N50" s="374"/>
    </row>
    <row r="51" spans="1:14" ht="12.75">
      <c r="A51" s="72" t="s">
        <v>909</v>
      </c>
      <c r="B51" s="184"/>
      <c r="C51" s="162">
        <f>(C$29*C$30)/(J$29*J$30)</f>
        <v>1</v>
      </c>
      <c r="D51" s="162">
        <f>(D$29*D$30)/(K$29*K$30)</f>
        <v>1</v>
      </c>
      <c r="E51" s="162">
        <f>(E$29*E$30)/(L$29*L$30)</f>
        <v>1</v>
      </c>
      <c r="F51" s="162">
        <f>(F$29*F$30)/(M$29*M$30)</f>
        <v>1</v>
      </c>
      <c r="G51" s="162">
        <f>(G$29*G$30)/(N$29*N$30)</f>
        <v>1</v>
      </c>
      <c r="I51" s="373"/>
      <c r="J51" s="374"/>
      <c r="K51" s="374"/>
      <c r="L51" s="374"/>
      <c r="M51" s="374"/>
      <c r="N51" s="374"/>
    </row>
    <row r="52" spans="1:14" ht="12.75">
      <c r="A52" s="72" t="s">
        <v>886</v>
      </c>
      <c r="B52" s="373"/>
      <c r="C52" s="190">
        <f>100*(C$35-J$35)</f>
        <v>0</v>
      </c>
      <c r="D52" s="190">
        <f>100*(D$35-K$35)</f>
        <v>0</v>
      </c>
      <c r="E52" s="190">
        <f>100*(E$35-L$35)</f>
        <v>0</v>
      </c>
      <c r="F52" s="190">
        <f>100*(F$35-M$35)</f>
        <v>0</v>
      </c>
      <c r="G52" s="190">
        <f>100*(G$35-N$35)</f>
        <v>0</v>
      </c>
      <c r="I52" s="373"/>
      <c r="J52" s="374"/>
      <c r="K52" s="374"/>
      <c r="L52" s="374"/>
      <c r="M52" s="374"/>
      <c r="N52" s="374"/>
    </row>
    <row r="53" spans="1:7" ht="12.75">
      <c r="A53" s="72"/>
      <c r="B53" s="181"/>
      <c r="C53" s="182"/>
      <c r="D53" s="182"/>
      <c r="E53" s="182"/>
      <c r="F53" s="182"/>
      <c r="G53" s="182"/>
    </row>
    <row r="55" ht="15.75">
      <c r="A55" s="183" t="s">
        <v>863</v>
      </c>
    </row>
    <row r="56" spans="1:51" ht="18.75">
      <c r="A56" s="362" t="s">
        <v>469</v>
      </c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3"/>
      <c r="AX56" s="363"/>
      <c r="AY56" s="363"/>
    </row>
    <row r="57" spans="1:51" ht="12.75">
      <c r="A57" s="364" t="s">
        <v>608</v>
      </c>
      <c r="B57" s="363" t="s">
        <v>388</v>
      </c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  <c r="AW57" s="363"/>
      <c r="AX57" s="363"/>
      <c r="AY57" s="363"/>
    </row>
    <row r="58" spans="1:51" ht="12.75">
      <c r="A58" s="363"/>
      <c r="B58" s="363"/>
      <c r="C58" s="365" t="s">
        <v>531</v>
      </c>
      <c r="D58" s="365" t="s">
        <v>532</v>
      </c>
      <c r="E58" s="365" t="s">
        <v>533</v>
      </c>
      <c r="F58" s="365" t="s">
        <v>534</v>
      </c>
      <c r="G58" s="365" t="s">
        <v>535</v>
      </c>
      <c r="H58" s="365" t="s">
        <v>536</v>
      </c>
      <c r="I58" s="365" t="s">
        <v>537</v>
      </c>
      <c r="J58" s="366" t="s">
        <v>538</v>
      </c>
      <c r="K58" s="366" t="s">
        <v>539</v>
      </c>
      <c r="L58" s="366" t="s">
        <v>540</v>
      </c>
      <c r="M58" s="366" t="s">
        <v>541</v>
      </c>
      <c r="N58" s="366" t="s">
        <v>542</v>
      </c>
      <c r="O58" s="367" t="s">
        <v>543</v>
      </c>
      <c r="P58" s="367" t="s">
        <v>544</v>
      </c>
      <c r="Q58" s="367" t="s">
        <v>545</v>
      </c>
      <c r="R58" s="367" t="s">
        <v>546</v>
      </c>
      <c r="S58" s="367" t="s">
        <v>547</v>
      </c>
      <c r="T58" s="367" t="s">
        <v>548</v>
      </c>
      <c r="U58" s="367" t="s">
        <v>549</v>
      </c>
      <c r="V58" s="367" t="s">
        <v>550</v>
      </c>
      <c r="W58" s="367" t="s">
        <v>551</v>
      </c>
      <c r="X58" s="367" t="s">
        <v>552</v>
      </c>
      <c r="Y58" s="367" t="s">
        <v>553</v>
      </c>
      <c r="Z58" s="367" t="s">
        <v>554</v>
      </c>
      <c r="AA58" s="367" t="s">
        <v>555</v>
      </c>
      <c r="AB58" s="367" t="s">
        <v>556</v>
      </c>
      <c r="AC58" s="367" t="s">
        <v>557</v>
      </c>
      <c r="AD58" s="367" t="s">
        <v>558</v>
      </c>
      <c r="AE58" s="367" t="s">
        <v>559</v>
      </c>
      <c r="AF58" s="367" t="s">
        <v>560</v>
      </c>
      <c r="AG58" s="367" t="s">
        <v>561</v>
      </c>
      <c r="AH58" s="367" t="s">
        <v>562</v>
      </c>
      <c r="AI58" s="367" t="s">
        <v>563</v>
      </c>
      <c r="AJ58" s="367" t="s">
        <v>564</v>
      </c>
      <c r="AK58" s="367" t="s">
        <v>565</v>
      </c>
      <c r="AL58" s="367" t="s">
        <v>566</v>
      </c>
      <c r="AM58" s="367" t="s">
        <v>567</v>
      </c>
      <c r="AN58" s="367" t="s">
        <v>568</v>
      </c>
      <c r="AO58" s="367" t="s">
        <v>569</v>
      </c>
      <c r="AP58" s="367" t="s">
        <v>570</v>
      </c>
      <c r="AQ58" s="367" t="s">
        <v>571</v>
      </c>
      <c r="AR58" s="367" t="s">
        <v>572</v>
      </c>
      <c r="AS58" s="367" t="s">
        <v>573</v>
      </c>
      <c r="AT58" s="367" t="s">
        <v>574</v>
      </c>
      <c r="AU58" s="367" t="s">
        <v>575</v>
      </c>
      <c r="AV58" s="367" t="s">
        <v>576</v>
      </c>
      <c r="AW58" s="367" t="s">
        <v>577</v>
      </c>
      <c r="AX58" s="367" t="s">
        <v>578</v>
      </c>
      <c r="AY58" s="367" t="s">
        <v>579</v>
      </c>
    </row>
    <row r="59" spans="1:51" ht="12.75">
      <c r="A59" s="368" t="s">
        <v>595</v>
      </c>
      <c r="B59" s="363"/>
      <c r="C59" s="369">
        <v>0.6</v>
      </c>
      <c r="D59" s="369">
        <v>1.2</v>
      </c>
      <c r="E59" s="369">
        <v>1.8789999999999996</v>
      </c>
      <c r="F59" s="370">
        <v>2.107</v>
      </c>
      <c r="G59" s="370">
        <v>2.3369999999999997</v>
      </c>
      <c r="H59" s="370">
        <v>2.048</v>
      </c>
      <c r="I59" s="370">
        <v>2.104</v>
      </c>
      <c r="J59" s="371">
        <v>2.242</v>
      </c>
      <c r="K59" s="371">
        <v>0.25</v>
      </c>
      <c r="L59" s="371">
        <v>0</v>
      </c>
      <c r="M59" s="371">
        <v>0</v>
      </c>
      <c r="N59" s="371">
        <v>0</v>
      </c>
      <c r="O59" s="372">
        <v>0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2.780079767097238</v>
      </c>
      <c r="W59" s="372">
        <v>2.6636523872256745</v>
      </c>
      <c r="X59" s="372">
        <v>2.538321823783427</v>
      </c>
      <c r="Y59" s="372">
        <v>2.3047410292655677</v>
      </c>
      <c r="Z59" s="372">
        <v>2.0464164403709333</v>
      </c>
      <c r="AA59" s="372">
        <v>1.7248086695578166</v>
      </c>
      <c r="AB59" s="372">
        <v>1.3636403432120403</v>
      </c>
      <c r="AC59" s="372">
        <v>0.9881619963583503</v>
      </c>
      <c r="AD59" s="372">
        <v>0.627041473550193</v>
      </c>
      <c r="AE59" s="372">
        <v>0.3080226834463531</v>
      </c>
      <c r="AF59" s="372">
        <v>-0.005645405872115816</v>
      </c>
      <c r="AG59" s="372">
        <v>-0.32199169884570367</v>
      </c>
      <c r="AH59" s="372">
        <v>-0.6525748991943061</v>
      </c>
      <c r="AI59" s="372">
        <v>-1.0124785485474703</v>
      </c>
      <c r="AJ59" s="372">
        <v>-1.360915595449729</v>
      </c>
      <c r="AK59" s="372">
        <v>-1.7594020752663724</v>
      </c>
      <c r="AL59" s="372">
        <v>-2.143357782004287</v>
      </c>
      <c r="AM59" s="372">
        <v>-2.449751621434416</v>
      </c>
      <c r="AN59" s="372">
        <v>-2.6897057059759177</v>
      </c>
      <c r="AO59" s="372">
        <v>-2.8533854972302564</v>
      </c>
      <c r="AP59" s="372">
        <v>-2.9448729485247966</v>
      </c>
      <c r="AQ59" s="372">
        <v>-3.027014478204272</v>
      </c>
      <c r="AR59" s="372">
        <v>-3.087598043576307</v>
      </c>
      <c r="AS59" s="372">
        <v>-3.197160370020967</v>
      </c>
      <c r="AT59" s="372">
        <v>-3.3327503439763078</v>
      </c>
      <c r="AU59" s="372">
        <v>-3.5114891797419787</v>
      </c>
      <c r="AV59" s="372">
        <v>-3.7333230840928735</v>
      </c>
      <c r="AW59" s="372">
        <v>-4.041354928975402</v>
      </c>
      <c r="AX59" s="372">
        <v>-4.340886873097723</v>
      </c>
      <c r="AY59" s="372">
        <v>-4.633246263857565</v>
      </c>
    </row>
    <row r="60" spans="1:51" ht="12.75">
      <c r="A60" s="368" t="s">
        <v>605</v>
      </c>
      <c r="B60" s="363"/>
      <c r="C60" s="369">
        <v>0.015</v>
      </c>
      <c r="D60" s="369">
        <v>0.069</v>
      </c>
      <c r="E60" s="369">
        <f>0.131+0.146-0.007</f>
        <v>0.27</v>
      </c>
      <c r="F60" s="369">
        <f>0.191+0.557-0.022</f>
        <v>0.726</v>
      </c>
      <c r="G60" s="369">
        <f>0.359+1.13-0.052+(-0.006)</f>
        <v>1.4309999999999998</v>
      </c>
      <c r="H60" s="369">
        <f>0.436+1.313-(-0.052)+(-0.024)</f>
        <v>1.777</v>
      </c>
      <c r="I60" s="369">
        <f>0.385+(-0.995)-0.034+0.016</f>
        <v>-0.628</v>
      </c>
      <c r="J60" s="371">
        <v>-3.262</v>
      </c>
      <c r="K60" s="371">
        <v>1.065</v>
      </c>
      <c r="L60" s="371">
        <v>1.2009999999999998</v>
      </c>
      <c r="M60" s="371">
        <v>1.4979999999999998</v>
      </c>
      <c r="N60" s="371">
        <v>1.8799999999999997</v>
      </c>
      <c r="O60" s="372">
        <v>1.6092459999999997</v>
      </c>
      <c r="P60" s="372">
        <v>1.7150378320399997</v>
      </c>
      <c r="Q60" s="372">
        <v>1.8277844191183092</v>
      </c>
      <c r="R60" s="372">
        <v>1.9479429668311468</v>
      </c>
      <c r="S60" s="372">
        <v>2.0760007374706264</v>
      </c>
      <c r="T60" s="372">
        <v>2.2124770259519453</v>
      </c>
      <c r="U60" s="372">
        <v>2.357925265638026</v>
      </c>
      <c r="V60" s="372">
        <v>2.6272752222128726</v>
      </c>
      <c r="W60" s="372">
        <v>3.035680735179952</v>
      </c>
      <c r="X60" s="372">
        <v>3.460497685421993</v>
      </c>
      <c r="Y60" s="372">
        <v>3.897948860453989</v>
      </c>
      <c r="Z60" s="372">
        <v>4.3429356668536805</v>
      </c>
      <c r="AA60" s="372">
        <v>4.792228099391289</v>
      </c>
      <c r="AB60" s="372">
        <v>5.241610885944664</v>
      </c>
      <c r="AC60" s="372">
        <v>5.688706489866806</v>
      </c>
      <c r="AD60" s="372">
        <v>6.133305794656437</v>
      </c>
      <c r="AE60" s="372">
        <v>6.577627705136384</v>
      </c>
      <c r="AF60" s="372">
        <v>7.0237842778846495</v>
      </c>
      <c r="AG60" s="372">
        <v>7.472028744040835</v>
      </c>
      <c r="AH60" s="372">
        <v>7.921791307288302</v>
      </c>
      <c r="AI60" s="372">
        <v>8.371319914444216</v>
      </c>
      <c r="AJ60" s="372">
        <v>8.819740468410167</v>
      </c>
      <c r="AK60" s="372">
        <v>9.265441937036396</v>
      </c>
      <c r="AL60" s="372">
        <v>9.70657236567387</v>
      </c>
      <c r="AM60" s="372">
        <v>10.146680527662797</v>
      </c>
      <c r="AN60" s="372">
        <v>10.591950887159909</v>
      </c>
      <c r="AO60" s="372">
        <v>11.048874323654934</v>
      </c>
      <c r="AP60" s="372">
        <v>11.52464675300547</v>
      </c>
      <c r="AQ60" s="372">
        <v>12.024167179175436</v>
      </c>
      <c r="AR60" s="372">
        <v>12.550307478228627</v>
      </c>
      <c r="AS60" s="372">
        <v>13.103781349047253</v>
      </c>
      <c r="AT60" s="372">
        <v>13.683092978048409</v>
      </c>
      <c r="AU60" s="372">
        <v>14.286985381538518</v>
      </c>
      <c r="AV60" s="372">
        <v>14.91334433550968</v>
      </c>
      <c r="AW60" s="372">
        <v>15.55814631978829</v>
      </c>
      <c r="AX60" s="372">
        <v>16.219042418383964</v>
      </c>
      <c r="AY60" s="372">
        <v>16.897771308248103</v>
      </c>
    </row>
    <row r="61" spans="1:51" ht="12.75">
      <c r="A61" s="368" t="s">
        <v>606</v>
      </c>
      <c r="B61" s="363"/>
      <c r="C61" s="369">
        <v>0</v>
      </c>
      <c r="D61" s="369">
        <v>0</v>
      </c>
      <c r="E61" s="369">
        <v>0.077</v>
      </c>
      <c r="F61" s="370">
        <v>0.234</v>
      </c>
      <c r="G61" s="370">
        <v>0.468</v>
      </c>
      <c r="H61" s="370">
        <v>0.707</v>
      </c>
      <c r="I61" s="370">
        <v>0.237</v>
      </c>
      <c r="J61" s="371">
        <v>-0.083</v>
      </c>
      <c r="K61" s="371">
        <v>0</v>
      </c>
      <c r="L61" s="371">
        <v>0</v>
      </c>
      <c r="M61" s="371">
        <v>0.165</v>
      </c>
      <c r="N61" s="371">
        <v>0.4</v>
      </c>
      <c r="O61" s="372">
        <v>0.3862190399999999</v>
      </c>
      <c r="P61" s="372">
        <v>0.4116090796895999</v>
      </c>
      <c r="Q61" s="372">
        <v>0.4386682605883942</v>
      </c>
      <c r="R61" s="372">
        <v>0.4675063120394752</v>
      </c>
      <c r="S61" s="372">
        <v>0.4982401769929503</v>
      </c>
      <c r="T61" s="372">
        <v>0.5309944862284669</v>
      </c>
      <c r="U61" s="372">
        <v>0.5659020637531262</v>
      </c>
      <c r="V61" s="372">
        <v>0.6305460533310894</v>
      </c>
      <c r="W61" s="372">
        <v>0.7285633764431885</v>
      </c>
      <c r="X61" s="372">
        <v>0.8305194445012783</v>
      </c>
      <c r="Y61" s="372">
        <v>0.9355077265089573</v>
      </c>
      <c r="Z61" s="372">
        <v>1.0423045600448833</v>
      </c>
      <c r="AA61" s="372">
        <v>1.1501347438539093</v>
      </c>
      <c r="AB61" s="372">
        <v>1.2579866126267194</v>
      </c>
      <c r="AC61" s="372">
        <v>1.3652895575680333</v>
      </c>
      <c r="AD61" s="372">
        <v>1.4719933907175446</v>
      </c>
      <c r="AE61" s="372">
        <v>1.578630649232732</v>
      </c>
      <c r="AF61" s="372">
        <v>1.6857082266923158</v>
      </c>
      <c r="AG61" s="372">
        <v>1.7932868985698003</v>
      </c>
      <c r="AH61" s="372">
        <v>1.9012299137491924</v>
      </c>
      <c r="AI61" s="372">
        <v>2.009116779466612</v>
      </c>
      <c r="AJ61" s="372">
        <v>2.11673771241844</v>
      </c>
      <c r="AK61" s="372">
        <v>2.223706064888735</v>
      </c>
      <c r="AL61" s="372">
        <v>2.3295773677617286</v>
      </c>
      <c r="AM61" s="372">
        <v>2.4352033266390714</v>
      </c>
      <c r="AN61" s="372">
        <v>2.542068212918378</v>
      </c>
      <c r="AO61" s="372">
        <v>2.651729837677184</v>
      </c>
      <c r="AP61" s="372">
        <v>2.765915220721313</v>
      </c>
      <c r="AQ61" s="372">
        <v>2.8858001230021046</v>
      </c>
      <c r="AR61" s="372">
        <v>3.0120737947748704</v>
      </c>
      <c r="AS61" s="372">
        <v>3.1449075237713404</v>
      </c>
      <c r="AT61" s="372">
        <v>3.283942314731618</v>
      </c>
      <c r="AU61" s="372">
        <v>3.4288764915692442</v>
      </c>
      <c r="AV61" s="372">
        <v>3.579202640522323</v>
      </c>
      <c r="AW61" s="372">
        <v>3.73395511674919</v>
      </c>
      <c r="AX61" s="372">
        <v>3.892570180412151</v>
      </c>
      <c r="AY61" s="372">
        <v>4.055465113979545</v>
      </c>
    </row>
    <row r="62" spans="1:51" ht="12.75">
      <c r="A62" s="368" t="s">
        <v>155</v>
      </c>
      <c r="B62" s="363"/>
      <c r="C62" s="369">
        <v>0.615</v>
      </c>
      <c r="D62" s="369">
        <v>1.884</v>
      </c>
      <c r="E62" s="369">
        <v>3.956</v>
      </c>
      <c r="F62" s="370">
        <v>6.555</v>
      </c>
      <c r="G62" s="370">
        <v>9.855</v>
      </c>
      <c r="H62" s="370">
        <v>12.973</v>
      </c>
      <c r="I62" s="370">
        <v>14.212</v>
      </c>
      <c r="J62" s="371">
        <v>13.275</v>
      </c>
      <c r="K62" s="371">
        <v>14.59</v>
      </c>
      <c r="L62" s="371">
        <v>15.791</v>
      </c>
      <c r="M62" s="371">
        <v>17.124</v>
      </c>
      <c r="N62" s="371">
        <v>18.604</v>
      </c>
      <c r="O62" s="372">
        <v>19.827026959999998</v>
      </c>
      <c r="P62" s="372">
        <v>21.130455712350397</v>
      </c>
      <c r="Q62" s="372">
        <v>22.519571870880313</v>
      </c>
      <c r="R62" s="372">
        <v>24.000008525671984</v>
      </c>
      <c r="S62" s="372">
        <v>25.577769086149658</v>
      </c>
      <c r="T62" s="372">
        <v>27.259251625873137</v>
      </c>
      <c r="U62" s="372">
        <v>29.051274827758036</v>
      </c>
      <c r="V62" s="372">
        <v>33.828083763737055</v>
      </c>
      <c r="W62" s="372">
        <v>38.79885350969949</v>
      </c>
      <c r="X62" s="372">
        <v>43.96715357440363</v>
      </c>
      <c r="Y62" s="372">
        <v>49.23433573761423</v>
      </c>
      <c r="Z62" s="372">
        <v>54.58138328479396</v>
      </c>
      <c r="AA62" s="372">
        <v>59.94828530988915</v>
      </c>
      <c r="AB62" s="372">
        <v>65.29554992641914</v>
      </c>
      <c r="AC62" s="372">
        <v>70.60712885507625</v>
      </c>
      <c r="AD62" s="372">
        <v>75.89548273256534</v>
      </c>
      <c r="AE62" s="372">
        <v>81.20250247191535</v>
      </c>
      <c r="AF62" s="372">
        <v>86.53493311723557</v>
      </c>
      <c r="AG62" s="372">
        <v>91.8916832638609</v>
      </c>
      <c r="AH62" s="372">
        <v>97.2596697582057</v>
      </c>
      <c r="AI62" s="372">
        <v>102.60939434463585</v>
      </c>
      <c r="AJ62" s="372">
        <v>107.95148150517785</v>
      </c>
      <c r="AK62" s="372">
        <v>113.23381530205913</v>
      </c>
      <c r="AL62" s="372">
        <v>118.46745251796698</v>
      </c>
      <c r="AM62" s="372">
        <v>123.72917809755629</v>
      </c>
      <c r="AN62" s="372">
        <v>129.0893550658219</v>
      </c>
      <c r="AO62" s="372">
        <v>134.6331140545694</v>
      </c>
      <c r="AP62" s="372">
        <v>140.44697263832876</v>
      </c>
      <c r="AQ62" s="372">
        <v>146.55832521629782</v>
      </c>
      <c r="AR62" s="372">
        <v>153.0089608561753</v>
      </c>
      <c r="AS62" s="372">
        <v>159.7706743114302</v>
      </c>
      <c r="AT62" s="372">
        <v>166.8370746307707</v>
      </c>
      <c r="AU62" s="372">
        <v>174.183694340998</v>
      </c>
      <c r="AV62" s="372">
        <v>181.78451295189245</v>
      </c>
      <c r="AW62" s="372">
        <v>189.56734922595615</v>
      </c>
      <c r="AX62" s="372">
        <v>197.55293459083023</v>
      </c>
      <c r="AY62" s="372">
        <v>205.76199452124123</v>
      </c>
    </row>
    <row r="63" spans="1:51" ht="12.75">
      <c r="A63" s="64" t="s">
        <v>156</v>
      </c>
      <c r="C63" s="66">
        <f aca="true" t="shared" si="2" ref="C63:AY63">ROUND(B62+C59+C60-C61-C62,3)</f>
        <v>0</v>
      </c>
      <c r="D63" s="66">
        <f t="shared" si="2"/>
        <v>0</v>
      </c>
      <c r="E63" s="66">
        <f t="shared" si="2"/>
        <v>0</v>
      </c>
      <c r="F63" s="66">
        <f t="shared" si="2"/>
        <v>0</v>
      </c>
      <c r="G63" s="66">
        <f t="shared" si="2"/>
        <v>0</v>
      </c>
      <c r="H63" s="66">
        <f t="shared" si="2"/>
        <v>0</v>
      </c>
      <c r="I63" s="66">
        <f t="shared" si="2"/>
        <v>0</v>
      </c>
      <c r="J63" s="66">
        <f t="shared" si="2"/>
        <v>0</v>
      </c>
      <c r="K63" s="66">
        <f t="shared" si="2"/>
        <v>0</v>
      </c>
      <c r="L63" s="66">
        <f t="shared" si="2"/>
        <v>0</v>
      </c>
      <c r="M63" s="66">
        <f t="shared" si="2"/>
        <v>0</v>
      </c>
      <c r="N63" s="66">
        <f t="shared" si="2"/>
        <v>0</v>
      </c>
      <c r="O63" s="114">
        <f t="shared" si="2"/>
        <v>0</v>
      </c>
      <c r="P63" s="114">
        <f t="shared" si="2"/>
        <v>0</v>
      </c>
      <c r="Q63" s="114">
        <f t="shared" si="2"/>
        <v>0</v>
      </c>
      <c r="R63" s="114">
        <f t="shared" si="2"/>
        <v>0</v>
      </c>
      <c r="S63" s="114">
        <f t="shared" si="2"/>
        <v>0</v>
      </c>
      <c r="T63" s="114">
        <f t="shared" si="2"/>
        <v>0</v>
      </c>
      <c r="U63" s="114">
        <f t="shared" si="2"/>
        <v>0</v>
      </c>
      <c r="V63" s="114">
        <f t="shared" si="2"/>
        <v>0</v>
      </c>
      <c r="W63" s="114">
        <f t="shared" si="2"/>
        <v>0</v>
      </c>
      <c r="X63" s="114">
        <f t="shared" si="2"/>
        <v>0</v>
      </c>
      <c r="Y63" s="114">
        <f t="shared" si="2"/>
        <v>0</v>
      </c>
      <c r="Z63" s="114">
        <f t="shared" si="2"/>
        <v>0</v>
      </c>
      <c r="AA63" s="114">
        <f t="shared" si="2"/>
        <v>0</v>
      </c>
      <c r="AB63" s="114">
        <f t="shared" si="2"/>
        <v>0</v>
      </c>
      <c r="AC63" s="114">
        <f t="shared" si="2"/>
        <v>0</v>
      </c>
      <c r="AD63" s="114">
        <f t="shared" si="2"/>
        <v>0</v>
      </c>
      <c r="AE63" s="114">
        <f t="shared" si="2"/>
        <v>0</v>
      </c>
      <c r="AF63" s="114">
        <f t="shared" si="2"/>
        <v>0</v>
      </c>
      <c r="AG63" s="114">
        <f t="shared" si="2"/>
        <v>0</v>
      </c>
      <c r="AH63" s="114">
        <f t="shared" si="2"/>
        <v>0</v>
      </c>
      <c r="AI63" s="114">
        <f t="shared" si="2"/>
        <v>0</v>
      </c>
      <c r="AJ63" s="114">
        <f t="shared" si="2"/>
        <v>0</v>
      </c>
      <c r="AK63" s="114">
        <f t="shared" si="2"/>
        <v>0</v>
      </c>
      <c r="AL63" s="114">
        <f t="shared" si="2"/>
        <v>0</v>
      </c>
      <c r="AM63" s="114">
        <f t="shared" si="2"/>
        <v>0</v>
      </c>
      <c r="AN63" s="114">
        <f t="shared" si="2"/>
        <v>0</v>
      </c>
      <c r="AO63" s="114">
        <f t="shared" si="2"/>
        <v>0</v>
      </c>
      <c r="AP63" s="114">
        <f t="shared" si="2"/>
        <v>0</v>
      </c>
      <c r="AQ63" s="114">
        <f t="shared" si="2"/>
        <v>0</v>
      </c>
      <c r="AR63" s="114">
        <f t="shared" si="2"/>
        <v>0</v>
      </c>
      <c r="AS63" s="114">
        <f t="shared" si="2"/>
        <v>0</v>
      </c>
      <c r="AT63" s="114">
        <f t="shared" si="2"/>
        <v>0</v>
      </c>
      <c r="AU63" s="114">
        <f t="shared" si="2"/>
        <v>0</v>
      </c>
      <c r="AV63" s="114">
        <f t="shared" si="2"/>
        <v>0</v>
      </c>
      <c r="AW63" s="114">
        <f t="shared" si="2"/>
        <v>0</v>
      </c>
      <c r="AX63" s="114">
        <f t="shared" si="2"/>
        <v>0</v>
      </c>
      <c r="AY63" s="114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1"/>
  <sheetViews>
    <sheetView zoomScalePageLayoutView="0" workbookViewId="0" topLeftCell="A1">
      <pane xSplit="1" ySplit="2" topLeftCell="B148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M185" sqref="M185"/>
    </sheetView>
  </sheetViews>
  <sheetFormatPr defaultColWidth="9.140625" defaultRowHeight="12.75"/>
  <cols>
    <col min="1" max="1" width="70.7109375" style="0" customWidth="1"/>
    <col min="2" max="2" width="7.7109375" style="0" customWidth="1"/>
    <col min="3" max="5" width="7.7109375" style="140" customWidth="1"/>
    <col min="6" max="9" width="9.140625" style="140" customWidth="1"/>
  </cols>
  <sheetData>
    <row r="1" spans="1:5" ht="15.75">
      <c r="A1" s="33" t="s">
        <v>887</v>
      </c>
      <c r="B1" s="33"/>
      <c r="C1" s="157"/>
      <c r="D1" s="157"/>
      <c r="E1" s="157"/>
    </row>
    <row r="2" spans="1:9" ht="12.75">
      <c r="A2" s="69"/>
      <c r="B2" s="34"/>
      <c r="C2" s="34" t="s">
        <v>536</v>
      </c>
      <c r="D2" s="34" t="s">
        <v>537</v>
      </c>
      <c r="E2" s="146" t="s">
        <v>538</v>
      </c>
      <c r="F2" s="146" t="s">
        <v>423</v>
      </c>
      <c r="G2" s="146" t="s">
        <v>540</v>
      </c>
      <c r="H2" s="146" t="s">
        <v>541</v>
      </c>
      <c r="I2" s="146" t="s">
        <v>542</v>
      </c>
    </row>
    <row r="3" spans="1:12" ht="12.75">
      <c r="A3" s="68"/>
      <c r="B3" s="68"/>
      <c r="C3" s="270">
        <v>1</v>
      </c>
      <c r="D3" s="270">
        <v>2</v>
      </c>
      <c r="E3" s="269">
        <v>3</v>
      </c>
      <c r="F3" s="269">
        <v>4</v>
      </c>
      <c r="G3" s="269">
        <v>5</v>
      </c>
      <c r="H3" s="269">
        <v>6</v>
      </c>
      <c r="I3" s="269">
        <v>7</v>
      </c>
      <c r="K3" s="316" t="s">
        <v>651</v>
      </c>
      <c r="L3" s="322" t="s">
        <v>696</v>
      </c>
    </row>
    <row r="4" spans="1:12" ht="15.75">
      <c r="A4" s="73" t="s">
        <v>652</v>
      </c>
      <c r="B4" s="73"/>
      <c r="C4" s="148"/>
      <c r="D4" s="148"/>
      <c r="E4" s="148"/>
      <c r="L4" s="322" t="s">
        <v>697</v>
      </c>
    </row>
    <row r="5" spans="1:26" ht="12.75">
      <c r="A5" s="93" t="s">
        <v>422</v>
      </c>
      <c r="B5" s="93"/>
      <c r="C5" s="248">
        <v>53.064</v>
      </c>
      <c r="D5" s="248">
        <v>56.372</v>
      </c>
      <c r="E5" s="147">
        <v>53.523</v>
      </c>
      <c r="F5" s="147">
        <v>51.052</v>
      </c>
      <c r="G5" s="147">
        <v>51.326</v>
      </c>
      <c r="H5" s="147">
        <v>54.013</v>
      </c>
      <c r="I5" s="147">
        <v>57.781</v>
      </c>
      <c r="K5" s="322" t="s">
        <v>706</v>
      </c>
      <c r="V5" s="57"/>
      <c r="W5" s="57"/>
      <c r="X5" s="57"/>
      <c r="Y5" s="57"/>
      <c r="Z5" s="57"/>
    </row>
    <row r="6" spans="1:26" ht="12.75">
      <c r="A6" s="93" t="s">
        <v>341</v>
      </c>
      <c r="B6" s="93"/>
      <c r="C6" s="248">
        <v>3.496</v>
      </c>
      <c r="D6" s="248">
        <v>3.879</v>
      </c>
      <c r="E6" s="147">
        <v>4.114</v>
      </c>
      <c r="F6" s="147">
        <v>4.86</v>
      </c>
      <c r="G6" s="147">
        <v>5.403</v>
      </c>
      <c r="H6" s="147">
        <v>5.7</v>
      </c>
      <c r="I6" s="147">
        <v>6.299</v>
      </c>
      <c r="K6" s="332" t="s">
        <v>703</v>
      </c>
      <c r="V6" s="57"/>
      <c r="W6" s="57"/>
      <c r="X6" s="57"/>
      <c r="Y6" s="57"/>
      <c r="Z6" s="57"/>
    </row>
    <row r="7" spans="1:26" ht="12.75">
      <c r="A7" s="93" t="s">
        <v>391</v>
      </c>
      <c r="B7" s="93"/>
      <c r="C7" s="249">
        <v>12.613</v>
      </c>
      <c r="D7" s="249">
        <v>15.399</v>
      </c>
      <c r="E7" s="147">
        <v>15.248</v>
      </c>
      <c r="F7" s="147">
        <v>16.049</v>
      </c>
      <c r="G7" s="147">
        <v>17.415</v>
      </c>
      <c r="H7" s="147">
        <v>17.742</v>
      </c>
      <c r="I7" s="147">
        <v>18.377</v>
      </c>
      <c r="K7" t="str">
        <f>$K$6</f>
        <v>Used in TC 'Other non-investment income' total</v>
      </c>
      <c r="V7" s="57"/>
      <c r="W7" s="57"/>
      <c r="X7" s="57"/>
      <c r="Y7" s="57"/>
      <c r="Z7" s="57"/>
    </row>
    <row r="8" spans="1:26" ht="12.75">
      <c r="A8" s="93" t="s">
        <v>342</v>
      </c>
      <c r="B8" s="93"/>
      <c r="C8" s="249">
        <v>2.995</v>
      </c>
      <c r="D8" s="249">
        <v>3.214</v>
      </c>
      <c r="E8" s="147">
        <v>2.999</v>
      </c>
      <c r="F8" s="147">
        <v>3.159</v>
      </c>
      <c r="G8" s="147">
        <v>3.331</v>
      </c>
      <c r="H8" s="147">
        <v>3.363</v>
      </c>
      <c r="I8" s="147">
        <v>3.442</v>
      </c>
      <c r="K8" s="322" t="s">
        <v>707</v>
      </c>
      <c r="V8" s="57"/>
      <c r="W8" s="57"/>
      <c r="X8" s="57"/>
      <c r="Y8" s="57"/>
      <c r="Z8" s="57"/>
    </row>
    <row r="9" spans="1:26" ht="12.75">
      <c r="A9" s="93" t="s">
        <v>392</v>
      </c>
      <c r="B9" s="93"/>
      <c r="C9" s="250">
        <v>2.421</v>
      </c>
      <c r="D9" s="250">
        <v>2.615</v>
      </c>
      <c r="E9" s="147">
        <v>3.075</v>
      </c>
      <c r="F9" s="147">
        <v>2.814</v>
      </c>
      <c r="G9" s="147">
        <v>3.014</v>
      </c>
      <c r="H9" s="147">
        <v>3.035</v>
      </c>
      <c r="I9" s="147">
        <v>3.213</v>
      </c>
      <c r="K9" t="str">
        <f>$K$6</f>
        <v>Used in TC 'Other non-investment income' total</v>
      </c>
      <c r="V9" s="57"/>
      <c r="W9" s="57"/>
      <c r="X9" s="57"/>
      <c r="Y9" s="57"/>
      <c r="Z9" s="57"/>
    </row>
    <row r="10" spans="1:26" ht="12.75">
      <c r="A10" s="72" t="s">
        <v>339</v>
      </c>
      <c r="B10" s="72"/>
      <c r="C10" s="251">
        <f>SUM(C$5:C$9)</f>
        <v>74.58900000000001</v>
      </c>
      <c r="D10" s="251">
        <f aca="true" t="shared" si="0" ref="D10:I10">SUM(D$5:D$9)</f>
        <v>81.47899999999998</v>
      </c>
      <c r="E10" s="158">
        <f t="shared" si="0"/>
        <v>78.959</v>
      </c>
      <c r="F10" s="158">
        <f t="shared" si="0"/>
        <v>77.934</v>
      </c>
      <c r="G10" s="158">
        <f t="shared" si="0"/>
        <v>80.489</v>
      </c>
      <c r="H10" s="158">
        <f t="shared" si="0"/>
        <v>83.853</v>
      </c>
      <c r="I10" s="158">
        <f t="shared" si="0"/>
        <v>89.112</v>
      </c>
      <c r="V10" s="57"/>
      <c r="W10" s="57"/>
      <c r="X10" s="57"/>
      <c r="Y10" s="57"/>
      <c r="Z10" s="57"/>
    </row>
    <row r="11" spans="1:26" ht="12.75">
      <c r="A11" s="72" t="s">
        <v>338</v>
      </c>
      <c r="B11" s="72"/>
      <c r="C11" s="253">
        <v>5.86</v>
      </c>
      <c r="D11" s="253">
        <f>5.638-0.001</f>
        <v>5.637</v>
      </c>
      <c r="E11" s="236">
        <v>-2.916</v>
      </c>
      <c r="F11" s="236">
        <v>-7.739</v>
      </c>
      <c r="G11" s="236">
        <v>-9.265</v>
      </c>
      <c r="H11" s="236">
        <v>-9.583</v>
      </c>
      <c r="I11" s="236">
        <v>-8.423</v>
      </c>
      <c r="K11" s="110" t="s">
        <v>803</v>
      </c>
      <c r="V11" s="57"/>
      <c r="W11" s="57"/>
      <c r="X11" s="57"/>
      <c r="Y11" s="57"/>
      <c r="Z11" s="57"/>
    </row>
    <row r="12" spans="1:26" ht="12.75">
      <c r="A12" s="93" t="s">
        <v>656</v>
      </c>
      <c r="B12" s="72"/>
      <c r="C12" s="257">
        <v>2.052</v>
      </c>
      <c r="D12" s="257">
        <v>-3.542</v>
      </c>
      <c r="E12" s="297">
        <v>-6.716</v>
      </c>
      <c r="F12" s="297">
        <v>1.621</v>
      </c>
      <c r="G12" s="297">
        <v>1.753</v>
      </c>
      <c r="H12" s="297">
        <v>2.069</v>
      </c>
      <c r="I12" s="297">
        <v>2.269</v>
      </c>
      <c r="K12" s="332" t="s">
        <v>698</v>
      </c>
      <c r="V12" s="57"/>
      <c r="W12" s="57"/>
      <c r="X12" s="57"/>
      <c r="Y12" s="57"/>
      <c r="Z12" s="57"/>
    </row>
    <row r="13" spans="1:26" ht="12.75">
      <c r="A13" s="93" t="s">
        <v>337</v>
      </c>
      <c r="B13" s="72"/>
      <c r="C13" s="248">
        <v>0.191</v>
      </c>
      <c r="D13" s="248">
        <v>0.334</v>
      </c>
      <c r="E13" s="147">
        <v>0.333</v>
      </c>
      <c r="F13" s="147">
        <v>0.39</v>
      </c>
      <c r="G13" s="147">
        <v>0.402</v>
      </c>
      <c r="H13" s="147">
        <v>0.4</v>
      </c>
      <c r="I13" s="147">
        <v>0.382</v>
      </c>
      <c r="K13" t="str">
        <f>$K$12</f>
        <v>Used in TC 'Total Gains/(Losses) plus Net Surplus/(Deficit) from associates &amp; joint ventures' total</v>
      </c>
      <c r="V13" s="57"/>
      <c r="W13" s="57"/>
      <c r="X13" s="57"/>
      <c r="Y13" s="57"/>
      <c r="Z13" s="57"/>
    </row>
    <row r="14" spans="1:26" ht="12.75">
      <c r="A14" s="93" t="s">
        <v>657</v>
      </c>
      <c r="B14" s="72"/>
      <c r="C14" s="248">
        <v>-0.092</v>
      </c>
      <c r="D14" s="248">
        <v>0.022</v>
      </c>
      <c r="E14" s="147">
        <v>-0.004</v>
      </c>
      <c r="F14" s="147">
        <v>-0.001</v>
      </c>
      <c r="G14" s="147">
        <v>-0.001</v>
      </c>
      <c r="H14" s="147">
        <v>-0.001</v>
      </c>
      <c r="I14" s="147">
        <v>-0.001</v>
      </c>
      <c r="K14" t="str">
        <f>$K$12</f>
        <v>Used in TC 'Total Gains/(Losses) plus Net Surplus/(Deficit) from associates &amp; joint ventures' total</v>
      </c>
      <c r="V14" s="57"/>
      <c r="W14" s="57"/>
      <c r="X14" s="57"/>
      <c r="Y14" s="57"/>
      <c r="Z14" s="57"/>
    </row>
    <row r="15" spans="1:26" ht="12.75">
      <c r="A15" s="93" t="s">
        <v>669</v>
      </c>
      <c r="B15" s="72"/>
      <c r="C15" s="248">
        <v>0.012</v>
      </c>
      <c r="D15" s="248">
        <v>-0.067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K15" t="str">
        <f>$K$12</f>
        <v>Used in TC 'Total Gains/(Losses) plus Net Surplus/(Deficit) from associates &amp; joint ventures' total</v>
      </c>
      <c r="V15" s="57"/>
      <c r="W15" s="57"/>
      <c r="X15" s="57"/>
      <c r="Y15" s="57"/>
      <c r="Z15" s="57"/>
    </row>
    <row r="16" spans="1:26" ht="12.75">
      <c r="A16" s="72" t="s">
        <v>138</v>
      </c>
      <c r="B16" s="71"/>
      <c r="C16" s="319">
        <v>8.023</v>
      </c>
      <c r="D16" s="319">
        <v>2.384</v>
      </c>
      <c r="E16" s="462">
        <v>-9.303</v>
      </c>
      <c r="F16" s="462">
        <v>-5.729</v>
      </c>
      <c r="G16" s="462">
        <v>-7.111</v>
      </c>
      <c r="H16" s="462">
        <v>-7.115</v>
      </c>
      <c r="I16" s="462">
        <v>-5.773</v>
      </c>
      <c r="K16" t="s">
        <v>712</v>
      </c>
      <c r="V16" s="57"/>
      <c r="W16" s="57"/>
      <c r="X16" s="57"/>
      <c r="Y16" s="57"/>
      <c r="Z16" s="57"/>
    </row>
    <row r="17" spans="1:9" ht="13.5">
      <c r="A17" s="328" t="s">
        <v>670</v>
      </c>
      <c r="B17" s="235"/>
      <c r="C17" s="325" t="str">
        <f aca="true" t="shared" si="1" ref="C17:I17">IF(ROUND(C$16-(SUM(C$5:C$9)-SUM(C$19:C$34)+SUM(C$12,C$13,C$14,C$15)),3)=0,"OK","ERROR")</f>
        <v>OK</v>
      </c>
      <c r="D17" s="325" t="str">
        <f t="shared" si="1"/>
        <v>OK</v>
      </c>
      <c r="E17" s="326" t="str">
        <f t="shared" si="1"/>
        <v>OK</v>
      </c>
      <c r="F17" s="326" t="str">
        <f t="shared" si="1"/>
        <v>OK</v>
      </c>
      <c r="G17" s="326" t="str">
        <f t="shared" si="1"/>
        <v>OK</v>
      </c>
      <c r="H17" s="326" t="str">
        <f t="shared" si="1"/>
        <v>OK</v>
      </c>
      <c r="I17" s="326" t="str">
        <f t="shared" si="1"/>
        <v>OK</v>
      </c>
    </row>
    <row r="18" spans="1:26" ht="12.75">
      <c r="A18" s="72" t="s">
        <v>424</v>
      </c>
      <c r="B18" s="235"/>
      <c r="C18" s="327"/>
      <c r="D18" s="327"/>
      <c r="E18" s="329"/>
      <c r="F18" s="329"/>
      <c r="G18" s="329"/>
      <c r="H18" s="329"/>
      <c r="I18" s="329"/>
      <c r="W18" s="57"/>
      <c r="X18" s="57"/>
      <c r="Y18" s="57"/>
      <c r="Z18" s="57"/>
    </row>
    <row r="19" spans="1:26" ht="12.75">
      <c r="A19" s="93" t="s">
        <v>393</v>
      </c>
      <c r="B19" s="93"/>
      <c r="C19" s="249">
        <v>19.829</v>
      </c>
      <c r="D19" s="249">
        <v>21.509</v>
      </c>
      <c r="E19" s="147">
        <v>23.409</v>
      </c>
      <c r="F19" s="147">
        <v>25.073</v>
      </c>
      <c r="G19" s="147">
        <v>26.409</v>
      </c>
      <c r="H19" s="147">
        <v>27.604</v>
      </c>
      <c r="I19" s="147">
        <v>28.607</v>
      </c>
      <c r="K19" s="316" t="str">
        <f>$K$3</f>
        <v>√</v>
      </c>
      <c r="W19" s="57"/>
      <c r="X19" s="57"/>
      <c r="Y19" s="57"/>
      <c r="Z19" s="57"/>
    </row>
    <row r="20" spans="1:26" ht="12.75">
      <c r="A20" s="93" t="s">
        <v>394</v>
      </c>
      <c r="B20" s="93"/>
      <c r="C20" s="249">
        <v>0.645</v>
      </c>
      <c r="D20" s="249">
        <v>0.69</v>
      </c>
      <c r="E20" s="147">
        <v>0.68</v>
      </c>
      <c r="F20" s="147">
        <v>0.37</v>
      </c>
      <c r="G20" s="147">
        <v>0.39</v>
      </c>
      <c r="H20" s="147">
        <v>0.437</v>
      </c>
      <c r="I20" s="147">
        <v>0.494</v>
      </c>
      <c r="K20" t="s">
        <v>710</v>
      </c>
      <c r="W20" s="57"/>
      <c r="X20" s="57"/>
      <c r="Y20" s="57"/>
      <c r="Z20" s="57"/>
    </row>
    <row r="21" spans="1:26" ht="12.75">
      <c r="A21" s="93" t="s">
        <v>520</v>
      </c>
      <c r="B21" s="93"/>
      <c r="C21" s="249">
        <v>10.661</v>
      </c>
      <c r="D21" s="249">
        <v>10.809</v>
      </c>
      <c r="E21" s="147">
        <v>11.947</v>
      </c>
      <c r="F21" s="147">
        <v>12.815</v>
      </c>
      <c r="G21" s="147">
        <v>12.754</v>
      </c>
      <c r="H21" s="147">
        <v>12.713</v>
      </c>
      <c r="I21" s="147">
        <v>12.692</v>
      </c>
      <c r="K21" s="316" t="str">
        <f>$K$3</f>
        <v>√</v>
      </c>
      <c r="W21" s="57"/>
      <c r="X21" s="57"/>
      <c r="Y21" s="57"/>
      <c r="Z21" s="57"/>
    </row>
    <row r="22" spans="1:26" ht="12.75">
      <c r="A22" s="93" t="s">
        <v>616</v>
      </c>
      <c r="B22" s="93"/>
      <c r="C22" s="249">
        <v>9.853</v>
      </c>
      <c r="D22" s="249">
        <v>10.397</v>
      </c>
      <c r="E22" s="147">
        <v>11.844</v>
      </c>
      <c r="F22" s="147">
        <v>12.147</v>
      </c>
      <c r="G22" s="147">
        <v>12.198</v>
      </c>
      <c r="H22" s="147">
        <v>12.237</v>
      </c>
      <c r="I22" s="147">
        <v>12.29</v>
      </c>
      <c r="K22" s="316" t="str">
        <f>$K$3</f>
        <v>√</v>
      </c>
      <c r="W22" s="57"/>
      <c r="X22" s="57"/>
      <c r="Y22" s="57"/>
      <c r="Z22" s="57"/>
    </row>
    <row r="23" spans="1:26" ht="12.75">
      <c r="A23" s="93" t="s">
        <v>419</v>
      </c>
      <c r="B23" s="93"/>
      <c r="C23" s="249">
        <v>4.628</v>
      </c>
      <c r="D23" s="249">
        <v>3.274</v>
      </c>
      <c r="E23" s="147">
        <v>3.813</v>
      </c>
      <c r="F23" s="147">
        <v>3.582</v>
      </c>
      <c r="G23" s="147">
        <v>3.602</v>
      </c>
      <c r="H23" s="147">
        <v>3.656</v>
      </c>
      <c r="I23" s="147">
        <v>3.733</v>
      </c>
      <c r="K23" t="str">
        <f>$K$20</f>
        <v>Used in TC 'Other Expenses' total</v>
      </c>
      <c r="W23" s="57"/>
      <c r="X23" s="57"/>
      <c r="Y23" s="57"/>
      <c r="Z23" s="57"/>
    </row>
    <row r="24" spans="1:26" ht="12.75">
      <c r="A24" s="93" t="s">
        <v>420</v>
      </c>
      <c r="B24" s="93"/>
      <c r="C24" s="249">
        <v>2.822</v>
      </c>
      <c r="D24" s="249">
        <v>3.082</v>
      </c>
      <c r="E24" s="147">
        <v>3.358</v>
      </c>
      <c r="F24" s="147">
        <v>3.515</v>
      </c>
      <c r="G24" s="147">
        <v>3.549</v>
      </c>
      <c r="H24" s="147">
        <v>3.565</v>
      </c>
      <c r="I24" s="147">
        <v>3.588</v>
      </c>
      <c r="K24" t="str">
        <f aca="true" t="shared" si="2" ref="K24:K31">$K$20</f>
        <v>Used in TC 'Other Expenses' total</v>
      </c>
      <c r="W24" s="57"/>
      <c r="X24" s="57"/>
      <c r="Y24" s="57"/>
      <c r="Z24" s="57"/>
    </row>
    <row r="25" spans="1:26" ht="12.75">
      <c r="A25" s="93" t="s">
        <v>521</v>
      </c>
      <c r="B25" s="93"/>
      <c r="C25" s="249">
        <v>1.478</v>
      </c>
      <c r="D25" s="249">
        <v>1.525</v>
      </c>
      <c r="E25" s="147">
        <v>1.687</v>
      </c>
      <c r="F25" s="147">
        <v>1.761</v>
      </c>
      <c r="G25" s="147">
        <v>1.757</v>
      </c>
      <c r="H25" s="147">
        <v>1.746</v>
      </c>
      <c r="I25" s="147">
        <v>1.744</v>
      </c>
      <c r="K25" t="str">
        <f t="shared" si="2"/>
        <v>Used in TC 'Other Expenses' total</v>
      </c>
      <c r="W25" s="57"/>
      <c r="X25" s="57"/>
      <c r="Y25" s="57"/>
      <c r="Z25" s="57"/>
    </row>
    <row r="26" spans="1:26" ht="12.75">
      <c r="A26" s="93" t="s">
        <v>414</v>
      </c>
      <c r="B26" s="93"/>
      <c r="C26" s="249">
        <v>6.99</v>
      </c>
      <c r="D26" s="249">
        <v>7.424</v>
      </c>
      <c r="E26" s="147">
        <v>9.349</v>
      </c>
      <c r="F26" s="147">
        <v>8.868</v>
      </c>
      <c r="G26" s="147">
        <v>9.178</v>
      </c>
      <c r="H26" s="147">
        <v>9.24</v>
      </c>
      <c r="I26" s="147">
        <v>9.485</v>
      </c>
      <c r="K26" t="str">
        <f t="shared" si="2"/>
        <v>Used in TC 'Other Expenses' total</v>
      </c>
      <c r="W26" s="57"/>
      <c r="X26" s="57"/>
      <c r="Y26" s="57"/>
      <c r="Z26" s="57"/>
    </row>
    <row r="27" spans="1:26" ht="12.75">
      <c r="A27" s="93" t="s">
        <v>415</v>
      </c>
      <c r="B27" s="93"/>
      <c r="C27" s="249">
        <v>4.723</v>
      </c>
      <c r="D27" s="249">
        <v>9.043</v>
      </c>
      <c r="E27" s="147">
        <v>8.055</v>
      </c>
      <c r="F27" s="147">
        <v>8.246</v>
      </c>
      <c r="G27" s="147">
        <v>8.811</v>
      </c>
      <c r="H27" s="147">
        <v>8.884</v>
      </c>
      <c r="I27" s="147">
        <v>8.969</v>
      </c>
      <c r="K27" t="str">
        <f t="shared" si="2"/>
        <v>Used in TC 'Other Expenses' total</v>
      </c>
      <c r="W27" s="57"/>
      <c r="X27" s="57"/>
      <c r="Y27" s="57"/>
      <c r="Z27" s="57"/>
    </row>
    <row r="28" spans="1:26" ht="12.75">
      <c r="A28" s="93" t="s">
        <v>416</v>
      </c>
      <c r="B28" s="93"/>
      <c r="C28" s="249">
        <v>1.233</v>
      </c>
      <c r="D28" s="249">
        <v>1.459</v>
      </c>
      <c r="E28" s="147">
        <v>1.437</v>
      </c>
      <c r="F28" s="147">
        <v>1.51</v>
      </c>
      <c r="G28" s="147">
        <v>1.452</v>
      </c>
      <c r="H28" s="147">
        <v>1.465</v>
      </c>
      <c r="I28" s="147">
        <v>1.473</v>
      </c>
      <c r="K28" t="str">
        <f t="shared" si="2"/>
        <v>Used in TC 'Other Expenses' total</v>
      </c>
      <c r="W28" s="57"/>
      <c r="X28" s="57"/>
      <c r="Y28" s="57"/>
      <c r="Z28" s="57"/>
    </row>
    <row r="29" spans="1:26" ht="12.75">
      <c r="A29" s="93" t="s">
        <v>417</v>
      </c>
      <c r="B29" s="93"/>
      <c r="C29" s="249">
        <v>2.043</v>
      </c>
      <c r="D29" s="249">
        <v>2.337</v>
      </c>
      <c r="E29" s="147">
        <v>2.414</v>
      </c>
      <c r="F29" s="147">
        <v>2.806</v>
      </c>
      <c r="G29" s="147">
        <v>3.031</v>
      </c>
      <c r="H29" s="147">
        <v>2.967</v>
      </c>
      <c r="I29" s="147">
        <v>4.06</v>
      </c>
      <c r="K29" t="str">
        <f t="shared" si="2"/>
        <v>Used in TC 'Other Expenses' total</v>
      </c>
      <c r="W29" s="57"/>
      <c r="X29" s="57"/>
      <c r="Y29" s="57"/>
      <c r="Z29" s="57"/>
    </row>
    <row r="30" spans="1:26" ht="12.75">
      <c r="A30" s="93" t="s">
        <v>418</v>
      </c>
      <c r="B30" s="93"/>
      <c r="C30" s="249">
        <v>0.865</v>
      </c>
      <c r="D30" s="249">
        <v>0.938</v>
      </c>
      <c r="E30" s="147">
        <v>0.904</v>
      </c>
      <c r="F30" s="147">
        <v>1.115</v>
      </c>
      <c r="G30" s="147">
        <v>1.146</v>
      </c>
      <c r="H30" s="147">
        <v>1.175</v>
      </c>
      <c r="I30" s="147">
        <v>1.184</v>
      </c>
      <c r="K30" t="str">
        <f t="shared" si="2"/>
        <v>Used in TC 'Other Expenses' total</v>
      </c>
      <c r="V30" s="57"/>
      <c r="W30" s="57"/>
      <c r="X30" s="57"/>
      <c r="Y30" s="57"/>
      <c r="Z30" s="57"/>
    </row>
    <row r="31" spans="1:26" ht="12.75">
      <c r="A31" s="93" t="s">
        <v>522</v>
      </c>
      <c r="B31" s="93"/>
      <c r="C31" s="249">
        <v>0.074</v>
      </c>
      <c r="D31" s="249">
        <v>0.254</v>
      </c>
      <c r="E31" s="147">
        <v>0.12</v>
      </c>
      <c r="F31" s="147">
        <v>0.562</v>
      </c>
      <c r="G31" s="147">
        <v>0.247</v>
      </c>
      <c r="H31" s="147">
        <v>0.739</v>
      </c>
      <c r="I31" s="147">
        <v>0.284</v>
      </c>
      <c r="K31" t="str">
        <f t="shared" si="2"/>
        <v>Used in TC 'Other Expenses' total</v>
      </c>
      <c r="V31" s="57"/>
      <c r="W31" s="57"/>
      <c r="X31" s="57"/>
      <c r="Y31" s="57"/>
      <c r="Z31" s="57"/>
    </row>
    <row r="32" spans="1:26" ht="12.75">
      <c r="A32" s="93" t="s">
        <v>163</v>
      </c>
      <c r="B32" s="93"/>
      <c r="C32" s="249">
        <v>2.885</v>
      </c>
      <c r="D32" s="249">
        <v>3.101</v>
      </c>
      <c r="E32" s="147">
        <v>3.358</v>
      </c>
      <c r="F32" s="147">
        <v>3.349</v>
      </c>
      <c r="G32" s="147">
        <v>4.019</v>
      </c>
      <c r="H32" s="147">
        <v>4.625</v>
      </c>
      <c r="I32" s="147">
        <v>5.46</v>
      </c>
      <c r="K32" s="316" t="str">
        <f>$K$3</f>
        <v>√</v>
      </c>
      <c r="V32" s="57"/>
      <c r="W32" s="57"/>
      <c r="X32" s="57"/>
      <c r="Y32" s="57"/>
      <c r="Z32" s="57"/>
    </row>
    <row r="33" spans="1:26" ht="12.75">
      <c r="A33" s="93" t="s">
        <v>443</v>
      </c>
      <c r="B33" s="93"/>
      <c r="C33" s="249">
        <v>0</v>
      </c>
      <c r="D33" s="249">
        <v>0</v>
      </c>
      <c r="E33" s="147">
        <v>0</v>
      </c>
      <c r="F33" s="147">
        <v>0.254</v>
      </c>
      <c r="G33" s="147">
        <v>1.436</v>
      </c>
      <c r="H33" s="147">
        <v>2.533</v>
      </c>
      <c r="I33" s="147">
        <v>3.622</v>
      </c>
      <c r="K33" t="s">
        <v>711</v>
      </c>
      <c r="V33" s="57"/>
      <c r="W33" s="57"/>
      <c r="X33" s="57"/>
      <c r="Y33" s="57"/>
      <c r="Z33" s="57"/>
    </row>
    <row r="34" spans="1:26" ht="12.75">
      <c r="A34" s="93" t="s">
        <v>336</v>
      </c>
      <c r="B34" s="93"/>
      <c r="C34" s="249">
        <v>0</v>
      </c>
      <c r="D34" s="249">
        <v>0</v>
      </c>
      <c r="E34" s="147">
        <v>-0.5</v>
      </c>
      <c r="F34" s="147">
        <v>-0.3</v>
      </c>
      <c r="G34" s="147">
        <v>-0.225</v>
      </c>
      <c r="H34" s="147">
        <v>-0.15</v>
      </c>
      <c r="I34" s="147">
        <v>-0.15</v>
      </c>
      <c r="K34" t="str">
        <f>$K$20</f>
        <v>Used in TC 'Other Expenses' total</v>
      </c>
      <c r="V34" s="57"/>
      <c r="W34" s="57"/>
      <c r="X34" s="57"/>
      <c r="Y34" s="57"/>
      <c r="Z34" s="57"/>
    </row>
    <row r="35" spans="1:26" ht="12.75">
      <c r="A35" s="72" t="s">
        <v>340</v>
      </c>
      <c r="B35" s="72"/>
      <c r="C35" s="251">
        <f aca="true" t="shared" si="3" ref="C35:I35">SUM(C$19:C$34)</f>
        <v>68.729</v>
      </c>
      <c r="D35" s="251">
        <f t="shared" si="3"/>
        <v>75.84200000000001</v>
      </c>
      <c r="E35" s="158">
        <f t="shared" si="3"/>
        <v>81.875</v>
      </c>
      <c r="F35" s="158">
        <f t="shared" si="3"/>
        <v>85.673</v>
      </c>
      <c r="G35" s="158">
        <f t="shared" si="3"/>
        <v>89.75400000000002</v>
      </c>
      <c r="H35" s="158">
        <f t="shared" si="3"/>
        <v>93.43599999999999</v>
      </c>
      <c r="I35" s="158">
        <f t="shared" si="3"/>
        <v>97.53499999999998</v>
      </c>
      <c r="V35" s="57"/>
      <c r="W35" s="57"/>
      <c r="X35" s="57"/>
      <c r="Y35" s="57"/>
      <c r="Z35" s="57"/>
    </row>
    <row r="36" spans="1:26" ht="12.75">
      <c r="A36" s="72" t="s">
        <v>457</v>
      </c>
      <c r="B36" s="72"/>
      <c r="C36" s="254"/>
      <c r="D36" s="254"/>
      <c r="E36" s="254"/>
      <c r="F36" s="254"/>
      <c r="G36" s="254"/>
      <c r="H36" s="254"/>
      <c r="I36" s="254"/>
      <c r="V36" s="57"/>
      <c r="W36" s="57"/>
      <c r="X36" s="57"/>
      <c r="Y36" s="57"/>
      <c r="Z36" s="57"/>
    </row>
    <row r="37" spans="1:26" ht="12.75">
      <c r="A37" s="93" t="s">
        <v>393</v>
      </c>
      <c r="B37" s="93"/>
      <c r="C37" s="249">
        <v>16.768</v>
      </c>
      <c r="D37" s="249">
        <v>17.877</v>
      </c>
      <c r="E37" s="147">
        <v>19.475</v>
      </c>
      <c r="F37" s="147">
        <v>21.139</v>
      </c>
      <c r="G37" s="147">
        <v>22.114</v>
      </c>
      <c r="H37" s="147">
        <v>22.925</v>
      </c>
      <c r="I37" s="147">
        <v>23.572</v>
      </c>
      <c r="K37" s="316" t="str">
        <f>$K$3</f>
        <v>√</v>
      </c>
      <c r="V37" s="57"/>
      <c r="W37" s="57"/>
      <c r="X37" s="57"/>
      <c r="Y37" s="57"/>
      <c r="Z37" s="57"/>
    </row>
    <row r="38" spans="1:26" ht="12.75">
      <c r="A38" s="93" t="s">
        <v>394</v>
      </c>
      <c r="B38" s="93"/>
      <c r="C38" s="249">
        <v>0.645</v>
      </c>
      <c r="D38" s="249">
        <v>0.69</v>
      </c>
      <c r="E38" s="147">
        <v>0.68</v>
      </c>
      <c r="F38" s="147">
        <v>0.37</v>
      </c>
      <c r="G38" s="147">
        <v>0.39</v>
      </c>
      <c r="H38" s="147">
        <v>0.437</v>
      </c>
      <c r="I38" s="147">
        <v>0.494</v>
      </c>
      <c r="K38" s="316" t="str">
        <f>$K$3</f>
        <v>√</v>
      </c>
      <c r="V38" s="57"/>
      <c r="W38" s="57"/>
      <c r="X38" s="57"/>
      <c r="Y38" s="57"/>
      <c r="Z38" s="57"/>
    </row>
    <row r="39" spans="1:26" ht="12.75">
      <c r="A39" s="93" t="s">
        <v>520</v>
      </c>
      <c r="B39" s="93"/>
      <c r="C39" s="248">
        <v>10.355</v>
      </c>
      <c r="D39" s="248">
        <v>11.297</v>
      </c>
      <c r="E39" s="147">
        <v>12.395</v>
      </c>
      <c r="F39" s="147">
        <v>13.397</v>
      </c>
      <c r="G39" s="147">
        <v>13.371</v>
      </c>
      <c r="H39" s="147">
        <v>13.358</v>
      </c>
      <c r="I39" s="147">
        <v>13.324</v>
      </c>
      <c r="K39" s="316" t="str">
        <f>$K$3</f>
        <v>√</v>
      </c>
      <c r="V39" s="57"/>
      <c r="W39" s="57"/>
      <c r="X39" s="57"/>
      <c r="Y39" s="57"/>
      <c r="Z39" s="57"/>
    </row>
    <row r="40" spans="1:26" ht="12.75">
      <c r="A40" s="93" t="s">
        <v>616</v>
      </c>
      <c r="B40" s="93"/>
      <c r="C40" s="255">
        <v>9.269</v>
      </c>
      <c r="D40" s="255">
        <v>9.551</v>
      </c>
      <c r="E40" s="147">
        <v>10.964</v>
      </c>
      <c r="F40" s="147">
        <v>11.284</v>
      </c>
      <c r="G40" s="147">
        <v>11.304</v>
      </c>
      <c r="H40" s="147">
        <v>11.311</v>
      </c>
      <c r="I40" s="147">
        <v>11.332</v>
      </c>
      <c r="K40" s="316" t="str">
        <f>$K$3</f>
        <v>√</v>
      </c>
      <c r="V40" s="57"/>
      <c r="W40" s="57"/>
      <c r="X40" s="57"/>
      <c r="Y40" s="57"/>
      <c r="Z40" s="57"/>
    </row>
    <row r="41" spans="1:26" ht="12.75">
      <c r="A41" s="93" t="s">
        <v>419</v>
      </c>
      <c r="B41" s="93"/>
      <c r="C41" s="248">
        <v>4.816</v>
      </c>
      <c r="D41" s="248">
        <v>3.371</v>
      </c>
      <c r="E41" s="147">
        <v>3.853</v>
      </c>
      <c r="F41" s="147">
        <v>3.62</v>
      </c>
      <c r="G41" s="147">
        <v>3.632</v>
      </c>
      <c r="H41" s="147">
        <v>3.697</v>
      </c>
      <c r="I41" s="147">
        <v>3.774</v>
      </c>
      <c r="K41" t="s">
        <v>809</v>
      </c>
      <c r="V41" s="57"/>
      <c r="W41" s="57"/>
      <c r="X41" s="57"/>
      <c r="Y41" s="57"/>
      <c r="Z41" s="57"/>
    </row>
    <row r="42" spans="1:26" ht="12.75">
      <c r="A42" s="93" t="s">
        <v>420</v>
      </c>
      <c r="B42" s="93"/>
      <c r="C42" s="248">
        <v>2.699</v>
      </c>
      <c r="D42" s="248">
        <v>2.894</v>
      </c>
      <c r="E42" s="147">
        <v>3.116</v>
      </c>
      <c r="F42" s="147">
        <v>3.267</v>
      </c>
      <c r="G42" s="147">
        <v>3.302</v>
      </c>
      <c r="H42" s="147">
        <v>3.302</v>
      </c>
      <c r="I42" s="147">
        <v>3.319</v>
      </c>
      <c r="K42" s="316" t="str">
        <f>$K$3</f>
        <v>√</v>
      </c>
      <c r="V42" s="57"/>
      <c r="W42" s="57"/>
      <c r="X42" s="57"/>
      <c r="Y42" s="57"/>
      <c r="Z42" s="57"/>
    </row>
    <row r="43" spans="1:26" ht="12.75">
      <c r="A43" s="93" t="s">
        <v>521</v>
      </c>
      <c r="B43" s="93"/>
      <c r="C43" s="248">
        <v>1.517</v>
      </c>
      <c r="D43" s="248">
        <v>1.562</v>
      </c>
      <c r="E43" s="147">
        <v>1.735</v>
      </c>
      <c r="F43" s="147">
        <v>1.81</v>
      </c>
      <c r="G43" s="147">
        <v>1.807</v>
      </c>
      <c r="H43" s="147">
        <v>1.797</v>
      </c>
      <c r="I43" s="147">
        <v>1.796</v>
      </c>
      <c r="K43" s="316" t="str">
        <f>$K$3</f>
        <v>√</v>
      </c>
      <c r="V43" s="57"/>
      <c r="W43" s="57"/>
      <c r="X43" s="57"/>
      <c r="Y43" s="57"/>
      <c r="Z43" s="57"/>
    </row>
    <row r="44" spans="1:26" ht="12.75">
      <c r="A44" s="93" t="s">
        <v>414</v>
      </c>
      <c r="B44" s="93"/>
      <c r="C44" s="248">
        <v>2.405</v>
      </c>
      <c r="D44" s="248">
        <v>2.244</v>
      </c>
      <c r="E44" s="147">
        <v>2.954</v>
      </c>
      <c r="F44" s="147">
        <v>2.253</v>
      </c>
      <c r="G44" s="147">
        <v>1.864</v>
      </c>
      <c r="H44" s="147">
        <v>1.74</v>
      </c>
      <c r="I44" s="147">
        <v>1.615</v>
      </c>
      <c r="K44" s="316" t="str">
        <f>$K$3</f>
        <v>√</v>
      </c>
      <c r="V44" s="57"/>
      <c r="W44" s="57"/>
      <c r="X44" s="57"/>
      <c r="Y44" s="57"/>
      <c r="Z44" s="57"/>
    </row>
    <row r="45" spans="1:26" ht="12.75">
      <c r="A45" s="93" t="s">
        <v>415</v>
      </c>
      <c r="B45" s="93"/>
      <c r="C45" s="248">
        <v>1.595</v>
      </c>
      <c r="D45" s="255">
        <v>2.889</v>
      </c>
      <c r="E45" s="147">
        <v>3.145</v>
      </c>
      <c r="F45" s="147">
        <v>2.673</v>
      </c>
      <c r="G45" s="147">
        <v>2.594</v>
      </c>
      <c r="H45" s="147">
        <v>2.59</v>
      </c>
      <c r="I45" s="147">
        <v>2.585</v>
      </c>
      <c r="J45" s="57"/>
      <c r="K45" t="str">
        <f>$K$41</f>
        <v>Used in 'CC Other Core Crown expenditure excl. finance costs but incl. top-down adjustment' total</v>
      </c>
      <c r="V45" s="57"/>
      <c r="W45" s="57"/>
      <c r="X45" s="57"/>
      <c r="Y45" s="57"/>
      <c r="Z45" s="57"/>
    </row>
    <row r="46" spans="1:26" ht="12.75">
      <c r="A46" s="93" t="s">
        <v>416</v>
      </c>
      <c r="B46" s="93"/>
      <c r="C46" s="248">
        <v>0.438</v>
      </c>
      <c r="D46" s="248">
        <v>0.541</v>
      </c>
      <c r="E46" s="147">
        <v>0.545</v>
      </c>
      <c r="F46" s="147">
        <v>0.611</v>
      </c>
      <c r="G46" s="147">
        <v>0.545</v>
      </c>
      <c r="H46" s="147">
        <v>0.553</v>
      </c>
      <c r="I46" s="147">
        <v>0.559</v>
      </c>
      <c r="J46" s="57"/>
      <c r="K46" t="str">
        <f>$K$41</f>
        <v>Used in 'CC Other Core Crown expenditure excl. finance costs but incl. top-down adjustment' total</v>
      </c>
      <c r="V46" s="57"/>
      <c r="W46" s="57"/>
      <c r="X46" s="57"/>
      <c r="Y46" s="57"/>
      <c r="Z46" s="57"/>
    </row>
    <row r="47" spans="1:26" ht="12.75">
      <c r="A47" s="93" t="s">
        <v>417</v>
      </c>
      <c r="B47" s="93"/>
      <c r="C47" s="248">
        <v>0.844</v>
      </c>
      <c r="D47" s="248">
        <v>1.107</v>
      </c>
      <c r="E47" s="147">
        <v>1.062</v>
      </c>
      <c r="F47" s="147">
        <v>1.507</v>
      </c>
      <c r="G47" s="147">
        <v>1.711</v>
      </c>
      <c r="H47" s="147">
        <v>1.594</v>
      </c>
      <c r="I47" s="147">
        <v>2.638</v>
      </c>
      <c r="J47" s="57"/>
      <c r="K47" t="str">
        <f>$K$41</f>
        <v>Used in 'CC Other Core Crown expenditure excl. finance costs but incl. top-down adjustment' total</v>
      </c>
      <c r="V47" s="57"/>
      <c r="W47" s="57"/>
      <c r="X47" s="57"/>
      <c r="Y47" s="57"/>
      <c r="Z47" s="57"/>
    </row>
    <row r="48" spans="1:26" ht="12.75">
      <c r="A48" s="93" t="s">
        <v>418</v>
      </c>
      <c r="B48" s="93"/>
      <c r="C48" s="248">
        <v>0.255</v>
      </c>
      <c r="D48" s="248">
        <v>0.26</v>
      </c>
      <c r="E48" s="147">
        <v>0.312</v>
      </c>
      <c r="F48" s="147">
        <v>0.365</v>
      </c>
      <c r="G48" s="147">
        <v>0.356</v>
      </c>
      <c r="H48" s="147">
        <v>0.36</v>
      </c>
      <c r="I48" s="147">
        <v>0.346</v>
      </c>
      <c r="J48" s="57"/>
      <c r="K48" t="str">
        <f>$K$41</f>
        <v>Used in 'CC Other Core Crown expenditure excl. finance costs but incl. top-down adjustment' total</v>
      </c>
      <c r="V48" s="57"/>
      <c r="W48" s="57"/>
      <c r="X48" s="57"/>
      <c r="Y48" s="57"/>
      <c r="Z48" s="57"/>
    </row>
    <row r="49" spans="1:26" ht="12.75">
      <c r="A49" s="93" t="s">
        <v>522</v>
      </c>
      <c r="B49" s="93"/>
      <c r="C49" s="248">
        <v>0.068</v>
      </c>
      <c r="D49" s="248">
        <v>0.254</v>
      </c>
      <c r="E49" s="147">
        <v>0.12</v>
      </c>
      <c r="F49" s="147">
        <v>0.562</v>
      </c>
      <c r="G49" s="147">
        <v>0.247</v>
      </c>
      <c r="H49" s="147">
        <v>0.739</v>
      </c>
      <c r="I49" s="147">
        <v>0.284</v>
      </c>
      <c r="J49" s="57"/>
      <c r="K49" t="str">
        <f>$K$41</f>
        <v>Used in 'CC Other Core Crown expenditure excl. finance costs but incl. top-down adjustment' total</v>
      </c>
      <c r="V49" s="57"/>
      <c r="W49" s="57"/>
      <c r="X49" s="57"/>
      <c r="Y49" s="57"/>
      <c r="Z49" s="57"/>
    </row>
    <row r="50" spans="1:26" ht="12.75">
      <c r="A50" s="93" t="s">
        <v>163</v>
      </c>
      <c r="B50" s="93"/>
      <c r="C50" s="248">
        <v>2.329</v>
      </c>
      <c r="D50" s="248">
        <v>2.46</v>
      </c>
      <c r="E50" s="147">
        <v>2.507</v>
      </c>
      <c r="F50" s="147">
        <v>2.47</v>
      </c>
      <c r="G50" s="147">
        <v>2.998</v>
      </c>
      <c r="H50" s="147">
        <v>3.575</v>
      </c>
      <c r="I50" s="147">
        <v>4.33</v>
      </c>
      <c r="J50" s="57"/>
      <c r="K50" s="316" t="str">
        <f>$K$3</f>
        <v>√</v>
      </c>
      <c r="V50" s="57"/>
      <c r="W50" s="57"/>
      <c r="X50" s="57"/>
      <c r="Y50" s="57"/>
      <c r="Z50" s="57"/>
    </row>
    <row r="51" spans="1:26" ht="12.75">
      <c r="A51" s="93" t="s">
        <v>628</v>
      </c>
      <c r="B51" s="93"/>
      <c r="C51" s="248">
        <v>0</v>
      </c>
      <c r="D51" s="248">
        <v>0</v>
      </c>
      <c r="E51" s="147">
        <v>0</v>
      </c>
      <c r="F51" s="147">
        <v>0.254</v>
      </c>
      <c r="G51" s="147">
        <v>1.436</v>
      </c>
      <c r="H51" s="147">
        <v>2.533</v>
      </c>
      <c r="I51" s="147">
        <v>3.622</v>
      </c>
      <c r="J51" s="57"/>
      <c r="K51" s="316" t="str">
        <f>$K$3</f>
        <v>√</v>
      </c>
      <c r="V51" s="57"/>
      <c r="W51" s="57"/>
      <c r="X51" s="57"/>
      <c r="Y51" s="57"/>
      <c r="Z51" s="57"/>
    </row>
    <row r="52" spans="1:26" ht="12.75">
      <c r="A52" s="93" t="s">
        <v>336</v>
      </c>
      <c r="B52" s="93"/>
      <c r="C52" s="248">
        <v>0</v>
      </c>
      <c r="D52" s="248">
        <v>0</v>
      </c>
      <c r="E52" s="147">
        <v>-0.5</v>
      </c>
      <c r="F52" s="147">
        <v>-0.3</v>
      </c>
      <c r="G52" s="147">
        <v>-0.225</v>
      </c>
      <c r="H52" s="147">
        <v>-0.15</v>
      </c>
      <c r="I52" s="147">
        <v>-0.15</v>
      </c>
      <c r="J52" s="57"/>
      <c r="K52" t="str">
        <f>$K$41</f>
        <v>Used in 'CC Other Core Crown expenditure excl. finance costs but incl. top-down adjustment' total</v>
      </c>
      <c r="V52" s="57"/>
      <c r="W52" s="57"/>
      <c r="X52" s="57"/>
      <c r="Y52" s="57"/>
      <c r="Z52" s="57"/>
    </row>
    <row r="53" spans="1:26" ht="12.75">
      <c r="A53" s="72" t="s">
        <v>671</v>
      </c>
      <c r="B53" s="93"/>
      <c r="C53" s="251">
        <f>SUM(C$37:C$52)</f>
        <v>54.00300000000001</v>
      </c>
      <c r="D53" s="251">
        <f aca="true" t="shared" si="4" ref="D53:I53">SUM(D$37:D$52)</f>
        <v>56.99699999999999</v>
      </c>
      <c r="E53" s="158">
        <f t="shared" si="4"/>
        <v>62.36299999999999</v>
      </c>
      <c r="F53" s="158">
        <f t="shared" si="4"/>
        <v>65.28200000000001</v>
      </c>
      <c r="G53" s="158">
        <f t="shared" si="4"/>
        <v>67.446</v>
      </c>
      <c r="H53" s="158">
        <f t="shared" si="4"/>
        <v>70.36099999999999</v>
      </c>
      <c r="I53" s="158">
        <f t="shared" si="4"/>
        <v>73.44000000000001</v>
      </c>
      <c r="J53" s="57"/>
      <c r="V53" s="57"/>
      <c r="W53" s="57"/>
      <c r="X53" s="57"/>
      <c r="Y53" s="57"/>
      <c r="Z53" s="57"/>
    </row>
    <row r="54" spans="1:26" ht="15.75">
      <c r="A54" s="73" t="s">
        <v>672</v>
      </c>
      <c r="B54" s="73"/>
      <c r="C54" s="252"/>
      <c r="D54" s="252"/>
      <c r="E54" s="463"/>
      <c r="F54" s="463"/>
      <c r="G54" s="463"/>
      <c r="H54" s="463"/>
      <c r="I54" s="463"/>
      <c r="V54" s="57"/>
      <c r="W54" s="57"/>
      <c r="X54" s="57"/>
      <c r="Y54" s="57"/>
      <c r="Z54" s="57"/>
    </row>
    <row r="55" spans="1:26" ht="12.75">
      <c r="A55" s="93" t="s">
        <v>348</v>
      </c>
      <c r="B55" s="93"/>
      <c r="C55" s="248">
        <v>4.163</v>
      </c>
      <c r="D55" s="248">
        <v>3.804</v>
      </c>
      <c r="E55" s="147">
        <v>5.353</v>
      </c>
      <c r="F55" s="147">
        <v>5.042</v>
      </c>
      <c r="G55" s="147">
        <v>5.045</v>
      </c>
      <c r="H55" s="147">
        <v>5.37</v>
      </c>
      <c r="I55" s="147">
        <v>5.107</v>
      </c>
      <c r="K55" s="316" t="str">
        <f>$K$3</f>
        <v>√</v>
      </c>
      <c r="V55" s="57"/>
      <c r="W55" s="57"/>
      <c r="X55" s="57"/>
      <c r="Y55" s="57"/>
      <c r="Z55" s="57"/>
    </row>
    <row r="56" spans="1:26" ht="12.75">
      <c r="A56" s="93" t="s">
        <v>400</v>
      </c>
      <c r="B56" s="93"/>
      <c r="C56" s="248">
        <v>12.058</v>
      </c>
      <c r="D56" s="248">
        <v>14.158</v>
      </c>
      <c r="E56" s="147">
        <v>13.787</v>
      </c>
      <c r="F56" s="147">
        <v>14.093</v>
      </c>
      <c r="G56" s="147">
        <v>14.018</v>
      </c>
      <c r="H56" s="147">
        <v>14.029</v>
      </c>
      <c r="I56" s="147">
        <v>14.439</v>
      </c>
      <c r="K56" s="316" t="str">
        <f>$K$3</f>
        <v>√</v>
      </c>
      <c r="V56" s="57"/>
      <c r="W56" s="57"/>
      <c r="X56" s="57"/>
      <c r="Y56" s="57"/>
      <c r="Z56" s="57"/>
    </row>
    <row r="57" spans="1:26" ht="12.75">
      <c r="A57" s="93" t="s">
        <v>349</v>
      </c>
      <c r="B57" s="93"/>
      <c r="C57" s="248">
        <v>32.125</v>
      </c>
      <c r="D57" s="248">
        <v>41.189</v>
      </c>
      <c r="E57" s="147">
        <v>54.676</v>
      </c>
      <c r="F57" s="147">
        <v>49.683</v>
      </c>
      <c r="G57" s="147">
        <v>49.01</v>
      </c>
      <c r="H57" s="147">
        <v>46.439</v>
      </c>
      <c r="I57" s="147">
        <v>45.151</v>
      </c>
      <c r="K57" s="322" t="s">
        <v>810</v>
      </c>
      <c r="V57" s="57"/>
      <c r="W57" s="57"/>
      <c r="X57" s="57"/>
      <c r="Y57" s="57"/>
      <c r="Z57" s="57"/>
    </row>
    <row r="58" spans="1:26" ht="12.75">
      <c r="A58" s="93" t="s">
        <v>350</v>
      </c>
      <c r="B58" s="93"/>
      <c r="C58" s="248">
        <v>13.581</v>
      </c>
      <c r="D58" s="248">
        <v>12.964</v>
      </c>
      <c r="E58" s="147">
        <v>10.664</v>
      </c>
      <c r="F58" s="147">
        <v>12.184</v>
      </c>
      <c r="G58" s="147">
        <v>13.544</v>
      </c>
      <c r="H58" s="147">
        <v>15.17</v>
      </c>
      <c r="I58" s="147">
        <v>17.232</v>
      </c>
      <c r="K58" t="str">
        <f>$K$57</f>
        <v>Used in TC 'Marketable securities, derivatives in gain and share investments' total</v>
      </c>
      <c r="V58" s="57"/>
      <c r="W58" s="57"/>
      <c r="X58" s="57"/>
      <c r="Y58" s="57"/>
      <c r="Z58" s="57"/>
    </row>
    <row r="59" spans="1:26" ht="12.75">
      <c r="A59" s="93" t="s">
        <v>399</v>
      </c>
      <c r="B59" s="93"/>
      <c r="C59" s="248">
        <v>11.793</v>
      </c>
      <c r="D59" s="248">
        <v>12.948</v>
      </c>
      <c r="E59" s="147">
        <v>15.042</v>
      </c>
      <c r="F59" s="147">
        <v>17.268</v>
      </c>
      <c r="G59" s="147">
        <v>18.905</v>
      </c>
      <c r="H59" s="147">
        <v>19.502</v>
      </c>
      <c r="I59" s="147">
        <v>20.124</v>
      </c>
      <c r="K59" s="316" t="str">
        <f>$K$3</f>
        <v>√</v>
      </c>
      <c r="V59" s="57"/>
      <c r="W59" s="57"/>
      <c r="X59" s="57"/>
      <c r="Y59" s="57"/>
      <c r="Z59" s="57"/>
    </row>
    <row r="60" spans="1:26" ht="12.75">
      <c r="A60" s="93" t="s">
        <v>351</v>
      </c>
      <c r="B60" s="93"/>
      <c r="C60" s="248">
        <v>0.826</v>
      </c>
      <c r="D60" s="248">
        <v>0.964</v>
      </c>
      <c r="E60" s="147">
        <v>1.099</v>
      </c>
      <c r="F60" s="147">
        <v>1.165</v>
      </c>
      <c r="G60" s="147">
        <v>1.248</v>
      </c>
      <c r="H60" s="147">
        <v>1.262</v>
      </c>
      <c r="I60" s="147">
        <v>1.265</v>
      </c>
      <c r="K60" s="322" t="s">
        <v>811</v>
      </c>
      <c r="V60" s="57"/>
      <c r="W60" s="57"/>
      <c r="X60" s="57"/>
      <c r="Y60" s="57"/>
      <c r="Z60" s="57"/>
    </row>
    <row r="61" spans="1:26" ht="12.75">
      <c r="A61" s="93" t="s">
        <v>352</v>
      </c>
      <c r="B61" s="93"/>
      <c r="C61" s="248">
        <v>1.527</v>
      </c>
      <c r="D61" s="248">
        <v>1.663</v>
      </c>
      <c r="E61" s="147">
        <v>1.547</v>
      </c>
      <c r="F61" s="147">
        <v>1.519</v>
      </c>
      <c r="G61" s="147">
        <v>1.49</v>
      </c>
      <c r="H61" s="147">
        <v>1.478</v>
      </c>
      <c r="I61" s="147">
        <v>1.438</v>
      </c>
      <c r="K61" t="str">
        <f>$K$60</f>
        <v>Used in TC 'Non-financial assets excluding property, plant and equipment' total</v>
      </c>
      <c r="V61" s="57"/>
      <c r="W61" s="57"/>
      <c r="X61" s="57"/>
      <c r="Y61" s="57"/>
      <c r="Z61" s="57"/>
    </row>
    <row r="62" spans="1:26" ht="12.75">
      <c r="A62" s="93" t="s">
        <v>446</v>
      </c>
      <c r="B62" s="93"/>
      <c r="C62" s="248">
        <v>95.598</v>
      </c>
      <c r="D62" s="248">
        <v>103.329</v>
      </c>
      <c r="E62" s="147">
        <v>106.498</v>
      </c>
      <c r="F62" s="147">
        <v>110.251</v>
      </c>
      <c r="G62" s="147">
        <v>113.517</v>
      </c>
      <c r="H62" s="147">
        <v>115.764</v>
      </c>
      <c r="I62" s="147">
        <v>118.486</v>
      </c>
      <c r="K62" s="316" t="str">
        <f>$K$3</f>
        <v>√</v>
      </c>
      <c r="V62" s="57"/>
      <c r="W62" s="57"/>
      <c r="X62" s="57"/>
      <c r="Y62" s="57"/>
      <c r="Z62" s="57"/>
    </row>
    <row r="63" spans="1:26" ht="12.75">
      <c r="A63" s="93" t="s">
        <v>353</v>
      </c>
      <c r="B63" s="93"/>
      <c r="C63" s="248">
        <v>7.001</v>
      </c>
      <c r="D63" s="248">
        <v>8.065</v>
      </c>
      <c r="E63" s="147">
        <v>8.805</v>
      </c>
      <c r="F63" s="147">
        <v>9.197</v>
      </c>
      <c r="G63" s="147">
        <v>9.532</v>
      </c>
      <c r="H63" s="147">
        <v>9.729</v>
      </c>
      <c r="I63" s="147">
        <v>9.686</v>
      </c>
      <c r="K63" t="str">
        <f>$K$60</f>
        <v>Used in TC 'Non-financial assets excluding property, plant and equipment' total</v>
      </c>
      <c r="V63" s="57"/>
      <c r="W63" s="57"/>
      <c r="X63" s="57"/>
      <c r="Y63" s="57"/>
      <c r="Z63" s="57"/>
    </row>
    <row r="64" spans="1:26" ht="12.75">
      <c r="A64" s="93" t="s">
        <v>355</v>
      </c>
      <c r="B64" s="93"/>
      <c r="C64" s="248">
        <v>1.677</v>
      </c>
      <c r="D64" s="248">
        <v>1.751</v>
      </c>
      <c r="E64" s="147">
        <v>1.928</v>
      </c>
      <c r="F64" s="147">
        <v>2.133</v>
      </c>
      <c r="G64" s="147">
        <v>2.281</v>
      </c>
      <c r="H64" s="147">
        <v>2.333</v>
      </c>
      <c r="I64" s="147">
        <v>2.239</v>
      </c>
      <c r="K64" t="str">
        <f>$K$60</f>
        <v>Used in TC 'Non-financial assets excluding property, plant and equipment' total</v>
      </c>
      <c r="V64" s="57"/>
      <c r="W64" s="57"/>
      <c r="X64" s="57"/>
      <c r="Y64" s="57"/>
      <c r="Z64" s="57"/>
    </row>
    <row r="65" spans="1:26" ht="12.75">
      <c r="A65" s="93" t="s">
        <v>447</v>
      </c>
      <c r="B65" s="93"/>
      <c r="C65" s="248">
        <v>0</v>
      </c>
      <c r="D65" s="248">
        <v>0</v>
      </c>
      <c r="E65" s="147">
        <v>0</v>
      </c>
      <c r="F65" s="147">
        <v>0.072</v>
      </c>
      <c r="G65" s="147">
        <v>0.774</v>
      </c>
      <c r="H65" s="147">
        <v>1.926</v>
      </c>
      <c r="I65" s="147">
        <v>3.376</v>
      </c>
      <c r="K65" s="316" t="str">
        <f>$K$3</f>
        <v>√</v>
      </c>
      <c r="V65" s="57"/>
      <c r="W65" s="57"/>
      <c r="X65" s="57"/>
      <c r="Y65" s="57"/>
      <c r="Z65" s="57"/>
    </row>
    <row r="66" spans="1:26" ht="12.75">
      <c r="A66" s="93" t="s">
        <v>354</v>
      </c>
      <c r="B66" s="93"/>
      <c r="C66" s="248">
        <v>0</v>
      </c>
      <c r="D66" s="248">
        <v>0</v>
      </c>
      <c r="E66" s="147">
        <v>-0.275</v>
      </c>
      <c r="F66" s="147">
        <v>-0.375</v>
      </c>
      <c r="G66" s="147">
        <v>-0.375</v>
      </c>
      <c r="H66" s="147">
        <v>-0.375</v>
      </c>
      <c r="I66" s="147">
        <v>-0.375</v>
      </c>
      <c r="K66" t="str">
        <f>$K$60</f>
        <v>Used in TC 'Non-financial assets excluding property, plant and equipment' total</v>
      </c>
      <c r="V66" s="57"/>
      <c r="W66" s="57"/>
      <c r="X66" s="57"/>
      <c r="Y66" s="57"/>
      <c r="Z66" s="57"/>
    </row>
    <row r="67" spans="1:26" ht="12.75">
      <c r="A67" s="72" t="s">
        <v>448</v>
      </c>
      <c r="B67" s="72"/>
      <c r="C67" s="251">
        <f aca="true" t="shared" si="5" ref="C67:I67">SUM(C$55:C$66)</f>
        <v>180.349</v>
      </c>
      <c r="D67" s="251">
        <f t="shared" si="5"/>
        <v>200.83499999999998</v>
      </c>
      <c r="E67" s="158">
        <f t="shared" si="5"/>
        <v>219.124</v>
      </c>
      <c r="F67" s="158">
        <f t="shared" si="5"/>
        <v>222.23200000000003</v>
      </c>
      <c r="G67" s="158">
        <f t="shared" si="5"/>
        <v>228.989</v>
      </c>
      <c r="H67" s="158">
        <f t="shared" si="5"/>
        <v>232.62699999999998</v>
      </c>
      <c r="I67" s="158">
        <f t="shared" si="5"/>
        <v>238.16800000000003</v>
      </c>
      <c r="V67" s="57"/>
      <c r="W67" s="57"/>
      <c r="X67" s="57"/>
      <c r="Y67" s="57"/>
      <c r="Z67" s="57"/>
    </row>
    <row r="68" spans="1:26" ht="12.75">
      <c r="A68" s="93" t="s">
        <v>343</v>
      </c>
      <c r="B68" s="93"/>
      <c r="C68" s="248">
        <v>3.444</v>
      </c>
      <c r="D68" s="248">
        <v>3.53</v>
      </c>
      <c r="E68" s="147">
        <v>4.039</v>
      </c>
      <c r="F68" s="147">
        <v>4.22</v>
      </c>
      <c r="G68" s="147">
        <v>4.41</v>
      </c>
      <c r="H68" s="147">
        <v>4.61</v>
      </c>
      <c r="I68" s="147">
        <v>4.819</v>
      </c>
      <c r="K68" s="322" t="s">
        <v>812</v>
      </c>
      <c r="V68" s="57"/>
      <c r="W68" s="57"/>
      <c r="X68" s="57"/>
      <c r="Y68" s="57"/>
      <c r="Z68" s="57"/>
    </row>
    <row r="69" spans="1:26" ht="12.75">
      <c r="A69" s="93" t="s">
        <v>344</v>
      </c>
      <c r="B69" s="93"/>
      <c r="C69" s="248">
        <v>8.075</v>
      </c>
      <c r="D69" s="248">
        <v>10.895</v>
      </c>
      <c r="E69" s="147">
        <v>9.949</v>
      </c>
      <c r="F69" s="147">
        <v>10.296</v>
      </c>
      <c r="G69" s="147">
        <v>10.672</v>
      </c>
      <c r="H69" s="147">
        <v>11.313</v>
      </c>
      <c r="I69" s="147">
        <v>11.405</v>
      </c>
      <c r="K69" t="str">
        <f>$K$68</f>
        <v>Used in TC 'Other Non-Core Crown non-debt liabilities' total</v>
      </c>
      <c r="V69" s="57"/>
      <c r="W69" s="57"/>
      <c r="X69" s="57"/>
      <c r="Y69" s="57"/>
      <c r="Z69" s="57"/>
    </row>
    <row r="70" spans="1:26" ht="12.75">
      <c r="A70" s="93" t="s">
        <v>347</v>
      </c>
      <c r="B70" s="93"/>
      <c r="C70" s="248">
        <v>0.966</v>
      </c>
      <c r="D70" s="248">
        <v>1.292</v>
      </c>
      <c r="E70" s="147">
        <v>1.218</v>
      </c>
      <c r="F70" s="147">
        <v>1.213</v>
      </c>
      <c r="G70" s="147">
        <v>1.223</v>
      </c>
      <c r="H70" s="147">
        <v>1.233</v>
      </c>
      <c r="I70" s="147">
        <v>1.239</v>
      </c>
      <c r="K70" t="str">
        <f>$K$68</f>
        <v>Used in TC 'Other Non-Core Crown non-debt liabilities' total</v>
      </c>
      <c r="V70" s="57"/>
      <c r="W70" s="57"/>
      <c r="X70" s="57"/>
      <c r="Y70" s="57"/>
      <c r="Z70" s="57"/>
    </row>
    <row r="71" spans="1:26" ht="12.75">
      <c r="A71" s="93" t="s">
        <v>629</v>
      </c>
      <c r="B71" s="93"/>
      <c r="C71" s="248">
        <v>41.898</v>
      </c>
      <c r="D71" s="248">
        <v>46.11</v>
      </c>
      <c r="E71" s="147">
        <v>69.156</v>
      </c>
      <c r="F71" s="147">
        <v>76.423</v>
      </c>
      <c r="G71" s="147">
        <v>88.656</v>
      </c>
      <c r="H71" s="147">
        <v>97.42</v>
      </c>
      <c r="I71" s="147">
        <v>106.621</v>
      </c>
      <c r="K71" s="322" t="s">
        <v>813</v>
      </c>
      <c r="V71" s="57"/>
      <c r="W71" s="57"/>
      <c r="X71" s="57"/>
      <c r="Y71" s="57"/>
      <c r="Z71" s="57"/>
    </row>
    <row r="72" spans="1:26" ht="12.75">
      <c r="A72" s="93" t="s">
        <v>345</v>
      </c>
      <c r="B72" s="93"/>
      <c r="C72" s="248">
        <v>17.418</v>
      </c>
      <c r="D72" s="248">
        <v>20.484</v>
      </c>
      <c r="E72" s="147">
        <v>24.136</v>
      </c>
      <c r="F72" s="147">
        <v>25.345</v>
      </c>
      <c r="G72" s="147">
        <v>26.662</v>
      </c>
      <c r="H72" s="147">
        <v>28.211</v>
      </c>
      <c r="I72" s="147">
        <v>29.95</v>
      </c>
      <c r="K72" t="str">
        <f>$K$68</f>
        <v>Used in TC 'Other Non-Core Crown non-debt liabilities' total</v>
      </c>
      <c r="V72" s="57"/>
      <c r="W72" s="57"/>
      <c r="X72" s="57"/>
      <c r="Y72" s="57"/>
      <c r="Z72" s="57"/>
    </row>
    <row r="73" spans="1:26" ht="12.75">
      <c r="A73" s="93" t="s">
        <v>630</v>
      </c>
      <c r="B73" s="93"/>
      <c r="C73" s="248">
        <v>7.161</v>
      </c>
      <c r="D73" s="248">
        <v>8.257</v>
      </c>
      <c r="E73" s="147">
        <v>10.557</v>
      </c>
      <c r="F73" s="147">
        <v>10.307</v>
      </c>
      <c r="G73" s="147">
        <v>10.063</v>
      </c>
      <c r="H73" s="147">
        <v>9.85</v>
      </c>
      <c r="I73" s="147">
        <v>9.693</v>
      </c>
      <c r="K73" s="322" t="s">
        <v>831</v>
      </c>
      <c r="V73" s="57"/>
      <c r="W73" s="57"/>
      <c r="X73" s="57"/>
      <c r="Y73" s="57"/>
      <c r="Z73" s="57"/>
    </row>
    <row r="74" spans="1:26" ht="12.75">
      <c r="A74" s="93" t="s">
        <v>346</v>
      </c>
      <c r="B74" s="93"/>
      <c r="C74" s="256">
        <v>4.56</v>
      </c>
      <c r="D74" s="248">
        <v>4.753</v>
      </c>
      <c r="E74" s="464">
        <v>4.371</v>
      </c>
      <c r="F74" s="464">
        <v>4.479</v>
      </c>
      <c r="G74" s="464">
        <v>4.491</v>
      </c>
      <c r="H74" s="464">
        <v>4.296</v>
      </c>
      <c r="I74" s="147">
        <v>4.549</v>
      </c>
      <c r="K74" t="str">
        <f>$K$68</f>
        <v>Used in TC 'Other Non-Core Crown non-debt liabilities' total</v>
      </c>
      <c r="V74" s="57"/>
      <c r="W74" s="57"/>
      <c r="X74" s="57"/>
      <c r="Y74" s="57"/>
      <c r="Z74" s="57"/>
    </row>
    <row r="75" spans="1:26" ht="12.75">
      <c r="A75" s="72" t="s">
        <v>449</v>
      </c>
      <c r="B75" s="72"/>
      <c r="C75" s="251">
        <f aca="true" t="shared" si="6" ref="C75:I75">SUM(C$68:C$74)</f>
        <v>83.522</v>
      </c>
      <c r="D75" s="251">
        <f t="shared" si="6"/>
        <v>95.32100000000001</v>
      </c>
      <c r="E75" s="158">
        <f t="shared" si="6"/>
        <v>123.426</v>
      </c>
      <c r="F75" s="158">
        <f t="shared" si="6"/>
        <v>132.28300000000002</v>
      </c>
      <c r="G75" s="158">
        <f t="shared" si="6"/>
        <v>146.17700000000002</v>
      </c>
      <c r="H75" s="158">
        <f t="shared" si="6"/>
        <v>156.933</v>
      </c>
      <c r="I75" s="158">
        <f t="shared" si="6"/>
        <v>168.276</v>
      </c>
      <c r="V75" s="57"/>
      <c r="W75" s="57"/>
      <c r="X75" s="57"/>
      <c r="Y75" s="57"/>
      <c r="Z75" s="57"/>
    </row>
    <row r="76" spans="1:26" ht="12.75">
      <c r="A76" s="72" t="s">
        <v>356</v>
      </c>
      <c r="B76" s="72"/>
      <c r="C76" s="257">
        <v>96.82699999999998</v>
      </c>
      <c r="D76" s="257">
        <v>105.514</v>
      </c>
      <c r="E76" s="297">
        <v>95.698</v>
      </c>
      <c r="F76" s="297">
        <v>89.949</v>
      </c>
      <c r="G76" s="297">
        <v>82.812</v>
      </c>
      <c r="H76" s="297">
        <v>75.694</v>
      </c>
      <c r="I76" s="297">
        <v>69.892</v>
      </c>
      <c r="K76" s="322" t="s">
        <v>814</v>
      </c>
      <c r="V76" s="57"/>
      <c r="W76" s="57"/>
      <c r="X76" s="57"/>
      <c r="Y76" s="57"/>
      <c r="Z76" s="57"/>
    </row>
    <row r="77" spans="1:26" ht="13.5">
      <c r="A77" s="328" t="s">
        <v>673</v>
      </c>
      <c r="B77" s="235"/>
      <c r="C77" s="325" t="str">
        <f>IF(ROUND(C$76-(SUM(C$55:C$66)-SUM(C$68:C$74)),3)=0,"OK","ERROR")</f>
        <v>OK</v>
      </c>
      <c r="D77" s="325" t="str">
        <f aca="true" t="shared" si="7" ref="D77:I77">IF(ROUND(D$76-(SUM(D$55:D$66)-SUM(D$68:D$74)),3)=0,"OK","ERROR")</f>
        <v>OK</v>
      </c>
      <c r="E77" s="326" t="str">
        <f t="shared" si="7"/>
        <v>OK</v>
      </c>
      <c r="F77" s="326" t="str">
        <f t="shared" si="7"/>
        <v>OK</v>
      </c>
      <c r="G77" s="326" t="str">
        <f t="shared" si="7"/>
        <v>OK</v>
      </c>
      <c r="H77" s="326" t="str">
        <f t="shared" si="7"/>
        <v>OK</v>
      </c>
      <c r="I77" s="326" t="str">
        <f t="shared" si="7"/>
        <v>OK</v>
      </c>
      <c r="V77" s="57"/>
      <c r="W77" s="57"/>
      <c r="X77" s="57"/>
      <c r="Y77" s="57"/>
      <c r="Z77" s="57"/>
    </row>
    <row r="78" spans="1:26" ht="15.75">
      <c r="A78" s="73" t="s">
        <v>674</v>
      </c>
      <c r="B78" s="235"/>
      <c r="C78" s="330"/>
      <c r="D78" s="330"/>
      <c r="E78" s="331"/>
      <c r="F78" s="331"/>
      <c r="G78" s="331"/>
      <c r="H78" s="331"/>
      <c r="I78" s="331"/>
      <c r="V78" s="57"/>
      <c r="W78" s="57"/>
      <c r="X78" s="57"/>
      <c r="Y78" s="57"/>
      <c r="Z78" s="57"/>
    </row>
    <row r="79" spans="1:26" ht="12.75">
      <c r="A79" s="72" t="s">
        <v>631</v>
      </c>
      <c r="B79" s="235"/>
      <c r="C79" s="248">
        <v>31.163</v>
      </c>
      <c r="D79" s="248">
        <v>33.192</v>
      </c>
      <c r="E79" s="147">
        <v>51.654</v>
      </c>
      <c r="F79" s="147">
        <v>58.076</v>
      </c>
      <c r="G79" s="147">
        <v>69.106</v>
      </c>
      <c r="H79" s="147">
        <v>76.885</v>
      </c>
      <c r="I79" s="147">
        <v>84.249</v>
      </c>
      <c r="K79" s="316" t="str">
        <f>$K$3</f>
        <v>√</v>
      </c>
      <c r="V79" s="57"/>
      <c r="W79" s="57"/>
      <c r="X79" s="57"/>
      <c r="Y79" s="57"/>
      <c r="Z79" s="57"/>
    </row>
    <row r="80" spans="1:26" ht="12.75">
      <c r="A80" s="72" t="s">
        <v>776</v>
      </c>
      <c r="B80" s="235"/>
      <c r="C80" s="248">
        <v>10.735</v>
      </c>
      <c r="D80" s="248">
        <v>12.918</v>
      </c>
      <c r="E80" s="147">
        <v>17.502</v>
      </c>
      <c r="F80" s="147">
        <v>18.347</v>
      </c>
      <c r="G80" s="147">
        <v>19.55</v>
      </c>
      <c r="H80" s="147">
        <v>20.535</v>
      </c>
      <c r="I80" s="147">
        <v>22.372</v>
      </c>
      <c r="K80" s="316" t="str">
        <f>$K$3</f>
        <v>√</v>
      </c>
      <c r="V80" s="57"/>
      <c r="W80" s="57"/>
      <c r="X80" s="57"/>
      <c r="Y80" s="57"/>
      <c r="Z80" s="57"/>
    </row>
    <row r="81" spans="1:26" ht="13.5">
      <c r="A81" s="328" t="s">
        <v>777</v>
      </c>
      <c r="B81" s="235"/>
      <c r="C81" s="325" t="str">
        <f>IF(ROUND(C$71-SUM(C$79:C$80),3)=0,"OK","ERROR")</f>
        <v>OK</v>
      </c>
      <c r="D81" s="325" t="str">
        <f>IF(ROUND(D$71-SUM(D$79:D$80),3)=0,"OK","ERROR")</f>
        <v>OK</v>
      </c>
      <c r="E81" s="326" t="str">
        <f>IF(ROUND(E$71-SUM(E$79:E$80),3)=0,"OK","ERROR")</f>
        <v>OK</v>
      </c>
      <c r="F81" s="326" t="str">
        <f>IF(ROUND(F$71-SUM(F$79:F$80),3)=0,"OK","ERROR")</f>
        <v>OK</v>
      </c>
      <c r="G81" s="326" t="str">
        <f>IF(ROUND(G$71-SUM(G$79:G$80),3)=0,"OK","ERROR")</f>
        <v>OK</v>
      </c>
      <c r="H81" s="326" t="str">
        <f>IF(ROUND(H$71-SUM(H$79:H$80),3)=0,"OK","ERROR")</f>
        <v>OK</v>
      </c>
      <c r="I81" s="326" t="str">
        <f>IF(ROUND(I$71-SUM(I$79:I$80),3)=0,"OK","ERROR")</f>
        <v>OK</v>
      </c>
      <c r="V81" s="57"/>
      <c r="W81" s="57"/>
      <c r="X81" s="57"/>
      <c r="Y81" s="57"/>
      <c r="Z81" s="57"/>
    </row>
    <row r="82" spans="1:26" ht="12.75">
      <c r="A82" s="93" t="s">
        <v>632</v>
      </c>
      <c r="B82" s="235"/>
      <c r="C82" s="248">
        <v>35.892</v>
      </c>
      <c r="D82" s="248">
        <v>37.336</v>
      </c>
      <c r="E82" s="147">
        <v>57.329</v>
      </c>
      <c r="F82" s="147">
        <v>64.116</v>
      </c>
      <c r="G82" s="147">
        <v>75.57</v>
      </c>
      <c r="H82" s="147">
        <v>83.801</v>
      </c>
      <c r="I82" s="147">
        <v>91.614</v>
      </c>
      <c r="K82" s="316" t="str">
        <f>$K$3</f>
        <v>√</v>
      </c>
      <c r="V82" s="57"/>
      <c r="W82" s="57"/>
      <c r="X82" s="57"/>
      <c r="Y82" s="57"/>
      <c r="Z82" s="57"/>
    </row>
    <row r="83" spans="1:26" ht="12.75">
      <c r="A83" s="93" t="s">
        <v>675</v>
      </c>
      <c r="B83" s="235"/>
      <c r="C83" s="248">
        <v>0.913</v>
      </c>
      <c r="D83" s="248">
        <v>0.409</v>
      </c>
      <c r="E83" s="147">
        <v>-0.528</v>
      </c>
      <c r="F83" s="147">
        <v>-0.559</v>
      </c>
      <c r="G83" s="147">
        <v>-0.559</v>
      </c>
      <c r="H83" s="147">
        <v>-0.56</v>
      </c>
      <c r="I83" s="147">
        <v>-0.561</v>
      </c>
      <c r="K83" s="316" t="str">
        <f>$K$3</f>
        <v>√</v>
      </c>
      <c r="V83" s="57"/>
      <c r="W83" s="57"/>
      <c r="X83" s="57"/>
      <c r="Y83" s="57"/>
      <c r="Z83" s="57"/>
    </row>
    <row r="84" spans="1:26" ht="12.75">
      <c r="A84" s="72" t="s">
        <v>467</v>
      </c>
      <c r="B84" s="235"/>
      <c r="C84" s="251">
        <f>SUM(C$82:C$83)</f>
        <v>36.805</v>
      </c>
      <c r="D84" s="251">
        <f aca="true" t="shared" si="8" ref="D84:I84">SUM(D$82:D$83)</f>
        <v>37.745</v>
      </c>
      <c r="E84" s="158">
        <f t="shared" si="8"/>
        <v>56.801</v>
      </c>
      <c r="F84" s="158">
        <f t="shared" si="8"/>
        <v>63.557</v>
      </c>
      <c r="G84" s="158">
        <f t="shared" si="8"/>
        <v>75.011</v>
      </c>
      <c r="H84" s="158">
        <f t="shared" si="8"/>
        <v>83.241</v>
      </c>
      <c r="I84" s="158">
        <f t="shared" si="8"/>
        <v>91.053</v>
      </c>
      <c r="V84" s="57"/>
      <c r="W84" s="57"/>
      <c r="X84" s="57"/>
      <c r="Y84" s="57"/>
      <c r="Z84" s="57"/>
    </row>
    <row r="85" spans="1:26" ht="12.75">
      <c r="A85" s="93" t="s">
        <v>895</v>
      </c>
      <c r="B85" s="235"/>
      <c r="C85" s="248">
        <v>35.185</v>
      </c>
      <c r="D85" s="248">
        <v>40.421</v>
      </c>
      <c r="E85" s="147">
        <v>52.987</v>
      </c>
      <c r="F85" s="147">
        <v>49.496</v>
      </c>
      <c r="G85" s="147">
        <v>50.077</v>
      </c>
      <c r="H85" s="147">
        <v>48.063</v>
      </c>
      <c r="I85" s="147">
        <v>47.031</v>
      </c>
      <c r="K85" s="322" t="s">
        <v>815</v>
      </c>
      <c r="V85" s="57"/>
      <c r="W85" s="57"/>
      <c r="X85" s="57"/>
      <c r="Y85" s="57"/>
      <c r="Z85" s="57"/>
    </row>
    <row r="86" spans="1:26" ht="12.75">
      <c r="A86" s="72" t="s">
        <v>633</v>
      </c>
      <c r="B86" s="235"/>
      <c r="C86" s="251">
        <f>SUM(C$82:C$83,-C$85)</f>
        <v>1.6199999999999974</v>
      </c>
      <c r="D86" s="251">
        <f aca="true" t="shared" si="9" ref="D86:I86">SUM(D$82:D$83,-D$85)</f>
        <v>-2.676000000000002</v>
      </c>
      <c r="E86" s="158">
        <f t="shared" si="9"/>
        <v>3.814</v>
      </c>
      <c r="F86" s="158">
        <f t="shared" si="9"/>
        <v>14.061</v>
      </c>
      <c r="G86" s="158">
        <f t="shared" si="9"/>
        <v>24.933999999999997</v>
      </c>
      <c r="H86" s="158">
        <f t="shared" si="9"/>
        <v>35.178</v>
      </c>
      <c r="I86" s="158">
        <f t="shared" si="9"/>
        <v>44.022</v>
      </c>
      <c r="V86" s="57"/>
      <c r="W86" s="57"/>
      <c r="X86" s="57"/>
      <c r="Y86" s="57"/>
      <c r="Z86" s="57"/>
    </row>
    <row r="87" spans="1:26" ht="12.75">
      <c r="A87" s="93" t="s">
        <v>702</v>
      </c>
      <c r="B87" s="235"/>
      <c r="C87" s="248">
        <v>11.576</v>
      </c>
      <c r="D87" s="248">
        <v>12.934</v>
      </c>
      <c r="E87" s="147">
        <v>11.668</v>
      </c>
      <c r="F87" s="147">
        <v>13.258</v>
      </c>
      <c r="G87" s="147">
        <v>14.825</v>
      </c>
      <c r="H87" s="147">
        <v>16.732</v>
      </c>
      <c r="I87" s="147">
        <v>18.612</v>
      </c>
      <c r="K87" s="316" t="str">
        <f>$K$3</f>
        <v>√</v>
      </c>
      <c r="V87" s="57"/>
      <c r="W87" s="57"/>
      <c r="X87" s="57"/>
      <c r="Y87" s="57"/>
      <c r="Z87" s="57"/>
    </row>
    <row r="88" spans="1:26" ht="12.75">
      <c r="A88" s="72" t="s">
        <v>634</v>
      </c>
      <c r="B88" s="235"/>
      <c r="C88" s="257">
        <v>13.196</v>
      </c>
      <c r="D88" s="257">
        <v>10.258</v>
      </c>
      <c r="E88" s="297">
        <v>15.482</v>
      </c>
      <c r="F88" s="297">
        <v>27.319</v>
      </c>
      <c r="G88" s="297">
        <v>39.759</v>
      </c>
      <c r="H88" s="297">
        <v>51.91</v>
      </c>
      <c r="I88" s="297">
        <v>62.634</v>
      </c>
      <c r="K88" s="322" t="s">
        <v>816</v>
      </c>
      <c r="V88" s="57"/>
      <c r="W88" s="57"/>
      <c r="X88" s="57"/>
      <c r="Y88" s="57"/>
      <c r="Z88" s="57"/>
    </row>
    <row r="89" spans="1:9" ht="13.5">
      <c r="A89" s="328" t="s">
        <v>701</v>
      </c>
      <c r="B89" s="235"/>
      <c r="C89" s="325" t="str">
        <f>IF(ROUND(C$88-(SUM(C$82:C$83,C$87)-C$85),3)=0,"OK","ERROR")</f>
        <v>OK</v>
      </c>
      <c r="D89" s="325" t="str">
        <f aca="true" t="shared" si="10" ref="D89:I89">IF(ROUND(D$88-(SUM(D$82:D$83,D$87)-D$85),3)=0,"OK","ERROR")</f>
        <v>OK</v>
      </c>
      <c r="E89" s="326" t="str">
        <f t="shared" si="10"/>
        <v>OK</v>
      </c>
      <c r="F89" s="326" t="str">
        <f t="shared" si="10"/>
        <v>OK</v>
      </c>
      <c r="G89" s="326" t="str">
        <f t="shared" si="10"/>
        <v>OK</v>
      </c>
      <c r="H89" s="326" t="str">
        <f t="shared" si="10"/>
        <v>OK</v>
      </c>
      <c r="I89" s="326" t="str">
        <f t="shared" si="10"/>
        <v>OK</v>
      </c>
    </row>
    <row r="90" spans="1:26" ht="12.75">
      <c r="A90" s="93" t="s">
        <v>894</v>
      </c>
      <c r="B90" s="235"/>
      <c r="C90" s="248">
        <v>7.758</v>
      </c>
      <c r="D90" s="248">
        <v>7.955</v>
      </c>
      <c r="E90" s="147">
        <v>14.184</v>
      </c>
      <c r="F90" s="147">
        <v>14.184</v>
      </c>
      <c r="G90" s="147">
        <v>14.184</v>
      </c>
      <c r="H90" s="147">
        <v>14.184</v>
      </c>
      <c r="I90" s="147">
        <v>14.184</v>
      </c>
      <c r="K90" s="322" t="s">
        <v>817</v>
      </c>
      <c r="V90" s="57"/>
      <c r="W90" s="57"/>
      <c r="X90" s="57"/>
      <c r="Y90" s="57"/>
      <c r="Z90" s="57"/>
    </row>
    <row r="91" spans="1:26" ht="12.75">
      <c r="A91" s="93" t="s">
        <v>635</v>
      </c>
      <c r="B91" s="235"/>
      <c r="C91" s="248">
        <v>1.6</v>
      </c>
      <c r="D91" s="248">
        <v>1.6</v>
      </c>
      <c r="E91" s="147">
        <v>1.6</v>
      </c>
      <c r="F91" s="147">
        <v>1.6</v>
      </c>
      <c r="G91" s="147">
        <v>1.6</v>
      </c>
      <c r="H91" s="147">
        <v>1.6</v>
      </c>
      <c r="I91" s="147">
        <v>1.6</v>
      </c>
      <c r="K91" t="str">
        <f>$K$90</f>
        <v>Used in calculation of 'NOTE T.1: RB SETTLEMENT CASH EXCLUDED FROM GSID'</v>
      </c>
      <c r="V91" s="57"/>
      <c r="W91" s="57"/>
      <c r="X91" s="57"/>
      <c r="Y91" s="57"/>
      <c r="Z91" s="57"/>
    </row>
    <row r="92" spans="1:26" ht="12.75">
      <c r="A92" s="72" t="s">
        <v>938</v>
      </c>
      <c r="B92" s="235"/>
      <c r="C92" s="257">
        <v>30.647000000000002</v>
      </c>
      <c r="D92" s="257">
        <v>31.39</v>
      </c>
      <c r="E92" s="297">
        <v>44.217</v>
      </c>
      <c r="F92" s="297">
        <v>50.973</v>
      </c>
      <c r="G92" s="297">
        <v>62.427</v>
      </c>
      <c r="H92" s="297">
        <v>70.657</v>
      </c>
      <c r="I92" s="297">
        <v>78.469</v>
      </c>
      <c r="K92" s="322" t="s">
        <v>818</v>
      </c>
      <c r="V92" s="57"/>
      <c r="W92" s="57"/>
      <c r="X92" s="57"/>
      <c r="Y92" s="57"/>
      <c r="Z92" s="57"/>
    </row>
    <row r="93" spans="1:9" ht="13.5">
      <c r="A93" s="328" t="s">
        <v>676</v>
      </c>
      <c r="B93" s="235"/>
      <c r="C93" s="325" t="str">
        <f>IF(ROUND(C$92-(SUM(C$82:C$83,C$91)-C$90),3)=0,"OK","ERROR")</f>
        <v>OK</v>
      </c>
      <c r="D93" s="325" t="str">
        <f aca="true" t="shared" si="11" ref="D93:I93">IF(ROUND(D$92-(SUM(D$82:D$83,D$91)-D$90),3)=0,"OK","ERROR")</f>
        <v>OK</v>
      </c>
      <c r="E93" s="326" t="str">
        <f t="shared" si="11"/>
        <v>OK</v>
      </c>
      <c r="F93" s="326" t="str">
        <f t="shared" si="11"/>
        <v>OK</v>
      </c>
      <c r="G93" s="326" t="str">
        <f t="shared" si="11"/>
        <v>OK</v>
      </c>
      <c r="H93" s="326" t="str">
        <f t="shared" si="11"/>
        <v>OK</v>
      </c>
      <c r="I93" s="326" t="str">
        <f t="shared" si="11"/>
        <v>OK</v>
      </c>
    </row>
    <row r="94" spans="1:9" ht="15.75">
      <c r="A94" s="73" t="s">
        <v>654</v>
      </c>
      <c r="B94" s="73"/>
      <c r="C94" s="252"/>
      <c r="D94" s="252"/>
      <c r="E94" s="463"/>
      <c r="F94" s="463"/>
      <c r="G94" s="463"/>
      <c r="H94" s="463"/>
      <c r="I94" s="463"/>
    </row>
    <row r="95" spans="1:26" ht="12.75">
      <c r="A95" s="93" t="s">
        <v>422</v>
      </c>
      <c r="B95" s="93"/>
      <c r="C95" s="258">
        <v>53.477</v>
      </c>
      <c r="D95" s="258">
        <v>56.747</v>
      </c>
      <c r="E95" s="147">
        <v>54.053</v>
      </c>
      <c r="F95" s="147">
        <v>51.58</v>
      </c>
      <c r="G95" s="147">
        <v>51.844</v>
      </c>
      <c r="H95" s="147">
        <v>54.591</v>
      </c>
      <c r="I95" s="147">
        <v>58.406</v>
      </c>
      <c r="K95" s="316" t="str">
        <f>$K$3</f>
        <v>√</v>
      </c>
      <c r="V95" s="57"/>
      <c r="W95" s="57"/>
      <c r="X95" s="57"/>
      <c r="Y95" s="57"/>
      <c r="Z95" s="57"/>
    </row>
    <row r="96" spans="1:26" ht="12.75">
      <c r="A96" s="93" t="s">
        <v>341</v>
      </c>
      <c r="B96" s="93"/>
      <c r="C96" s="258">
        <v>0.636</v>
      </c>
      <c r="D96" s="258">
        <v>0.733</v>
      </c>
      <c r="E96" s="147">
        <v>0.779</v>
      </c>
      <c r="F96" s="147">
        <v>1.178</v>
      </c>
      <c r="G96" s="147">
        <v>1.6</v>
      </c>
      <c r="H96" s="147">
        <v>1.799</v>
      </c>
      <c r="I96" s="147">
        <v>2.295</v>
      </c>
      <c r="K96" s="332" t="s">
        <v>704</v>
      </c>
      <c r="V96" s="57"/>
      <c r="W96" s="57"/>
      <c r="X96" s="57"/>
      <c r="Y96" s="57"/>
      <c r="Z96" s="57"/>
    </row>
    <row r="97" spans="1:26" ht="12.75">
      <c r="A97" s="93" t="s">
        <v>391</v>
      </c>
      <c r="B97" s="93"/>
      <c r="C97" s="258">
        <v>1.095</v>
      </c>
      <c r="D97" s="258">
        <v>1.097</v>
      </c>
      <c r="E97" s="147">
        <v>1.266</v>
      </c>
      <c r="F97" s="147">
        <v>1.357</v>
      </c>
      <c r="G97" s="147">
        <v>1.321</v>
      </c>
      <c r="H97" s="147">
        <v>1.314</v>
      </c>
      <c r="I97" s="147">
        <v>1.298</v>
      </c>
      <c r="K97" s="332" t="str">
        <f>$K$96</f>
        <v>Used in CC 'Other non-investment income' total</v>
      </c>
      <c r="V97" s="57"/>
      <c r="W97" s="57"/>
      <c r="X97" s="57"/>
      <c r="Y97" s="57"/>
      <c r="Z97" s="57"/>
    </row>
    <row r="98" spans="1:26" ht="12.75">
      <c r="A98" s="93" t="s">
        <v>655</v>
      </c>
      <c r="B98" s="93"/>
      <c r="C98" s="258">
        <v>2.58</v>
      </c>
      <c r="D98" s="258">
        <v>2.344</v>
      </c>
      <c r="E98" s="147">
        <v>1.897</v>
      </c>
      <c r="F98" s="147">
        <v>2.076</v>
      </c>
      <c r="G98" s="147">
        <v>2.165</v>
      </c>
      <c r="H98" s="147">
        <v>2.243</v>
      </c>
      <c r="I98" s="147">
        <v>2.456</v>
      </c>
      <c r="K98" s="316" t="str">
        <f>$K$3</f>
        <v>√</v>
      </c>
      <c r="V98" s="57"/>
      <c r="W98" s="57"/>
      <c r="X98" s="57"/>
      <c r="Y98" s="57"/>
      <c r="Z98" s="57"/>
    </row>
    <row r="99" spans="1:26" ht="12.75">
      <c r="A99" s="93" t="s">
        <v>392</v>
      </c>
      <c r="B99" s="93"/>
      <c r="C99" s="258">
        <v>0.423</v>
      </c>
      <c r="D99" s="258">
        <v>0.898</v>
      </c>
      <c r="E99" s="147">
        <v>0.879</v>
      </c>
      <c r="F99" s="147">
        <v>0.58</v>
      </c>
      <c r="G99" s="147">
        <v>0.588</v>
      </c>
      <c r="H99" s="147">
        <v>0.591</v>
      </c>
      <c r="I99" s="147">
        <v>0.591</v>
      </c>
      <c r="K99" s="332" t="str">
        <f>$K$96</f>
        <v>Used in CC 'Other non-investment income' total</v>
      </c>
      <c r="V99" s="57"/>
      <c r="W99" s="57"/>
      <c r="X99" s="57"/>
      <c r="Y99" s="57"/>
      <c r="Z99" s="57"/>
    </row>
    <row r="100" spans="1:26" ht="12.75">
      <c r="A100" s="72" t="s">
        <v>665</v>
      </c>
      <c r="B100" s="93"/>
      <c r="C100" s="251">
        <f>SUM(C$95:C$99)</f>
        <v>58.211</v>
      </c>
      <c r="D100" s="251">
        <f aca="true" t="shared" si="12" ref="D100:I100">SUM(D$95:D$99)</f>
        <v>61.819</v>
      </c>
      <c r="E100" s="158">
        <f t="shared" si="12"/>
        <v>58.873999999999995</v>
      </c>
      <c r="F100" s="158">
        <f t="shared" si="12"/>
        <v>56.770999999999994</v>
      </c>
      <c r="G100" s="158">
        <f t="shared" si="12"/>
        <v>57.518</v>
      </c>
      <c r="H100" s="158">
        <f t="shared" si="12"/>
        <v>60.538000000000004</v>
      </c>
      <c r="I100" s="158">
        <f t="shared" si="12"/>
        <v>65.04599999999999</v>
      </c>
      <c r="V100" s="57"/>
      <c r="W100" s="57"/>
      <c r="X100" s="57"/>
      <c r="Y100" s="57"/>
      <c r="Z100" s="57"/>
    </row>
    <row r="101" spans="1:26" ht="12.75">
      <c r="A101" s="93" t="s">
        <v>656</v>
      </c>
      <c r="B101" s="93"/>
      <c r="C101" s="258">
        <v>2.342</v>
      </c>
      <c r="D101" s="258">
        <v>-1.014</v>
      </c>
      <c r="E101" s="147">
        <v>-3.317</v>
      </c>
      <c r="F101" s="147">
        <v>1.295</v>
      </c>
      <c r="G101" s="147">
        <v>1.43</v>
      </c>
      <c r="H101" s="147">
        <v>1.52</v>
      </c>
      <c r="I101" s="147">
        <v>1.628</v>
      </c>
      <c r="K101" s="332" t="s">
        <v>700</v>
      </c>
      <c r="V101" s="57"/>
      <c r="W101" s="57"/>
      <c r="X101" s="57"/>
      <c r="Y101" s="57"/>
      <c r="Z101" s="57"/>
    </row>
    <row r="102" spans="1:26" ht="12.75">
      <c r="A102" s="93" t="s">
        <v>337</v>
      </c>
      <c r="B102" s="93"/>
      <c r="C102" s="258">
        <v>0.053</v>
      </c>
      <c r="D102" s="258">
        <v>0.085</v>
      </c>
      <c r="E102" s="147">
        <v>0.065</v>
      </c>
      <c r="F102" s="147">
        <v>0.097</v>
      </c>
      <c r="G102" s="147">
        <v>0.096</v>
      </c>
      <c r="H102" s="147">
        <v>0.098</v>
      </c>
      <c r="I102" s="147">
        <v>0.08</v>
      </c>
      <c r="K102" s="332" t="str">
        <f>$K$101</f>
        <v>Used in CC 'Total Gains/(Losses) plus Net Surplus/(Deficit) from associates &amp; joint ventures' total</v>
      </c>
      <c r="V102" s="57"/>
      <c r="W102" s="57"/>
      <c r="X102" s="57"/>
      <c r="Y102" s="57"/>
      <c r="Z102" s="57"/>
    </row>
    <row r="103" spans="1:26" ht="12.75">
      <c r="A103" s="93" t="s">
        <v>657</v>
      </c>
      <c r="B103" s="93"/>
      <c r="C103" s="258">
        <v>-0.092</v>
      </c>
      <c r="D103" s="258">
        <v>-0.002</v>
      </c>
      <c r="E103" s="147">
        <v>-0.003</v>
      </c>
      <c r="F103" s="147">
        <v>0</v>
      </c>
      <c r="G103" s="147">
        <v>0</v>
      </c>
      <c r="H103" s="147">
        <v>0</v>
      </c>
      <c r="I103" s="147">
        <v>0</v>
      </c>
      <c r="K103" s="332" t="str">
        <f>$K$101</f>
        <v>Used in CC 'Total Gains/(Losses) plus Net Surplus/(Deficit) from associates &amp; joint ventures' total</v>
      </c>
      <c r="V103" s="57"/>
      <c r="W103" s="57"/>
      <c r="X103" s="57"/>
      <c r="Y103" s="57"/>
      <c r="Z103" s="57"/>
    </row>
    <row r="104" spans="1:26" ht="12.75">
      <c r="A104" s="72" t="s">
        <v>138</v>
      </c>
      <c r="B104" s="71"/>
      <c r="C104" s="319">
        <v>6.511</v>
      </c>
      <c r="D104" s="319">
        <v>3.891</v>
      </c>
      <c r="E104" s="462">
        <v>-6.744</v>
      </c>
      <c r="F104" s="462">
        <v>-7.119</v>
      </c>
      <c r="G104" s="462">
        <v>-8.402</v>
      </c>
      <c r="H104" s="462">
        <v>-8.205</v>
      </c>
      <c r="I104" s="462">
        <v>-6.686</v>
      </c>
      <c r="K104" s="332" t="str">
        <f>$K$16</f>
        <v>Used in CHECK in main model</v>
      </c>
      <c r="V104" s="57"/>
      <c r="W104" s="57"/>
      <c r="X104" s="57"/>
      <c r="Y104" s="57"/>
      <c r="Z104" s="57"/>
    </row>
    <row r="105" spans="1:9" ht="13.5">
      <c r="A105" s="328" t="s">
        <v>659</v>
      </c>
      <c r="B105" s="235"/>
      <c r="C105" s="325" t="str">
        <f aca="true" t="shared" si="13" ref="C105:I105">IF(ROUND(C$104-(SUM(C$95:C$99)-SUM(C$37:C$52)+SUM(C$101,C$102,C$103)),3)=0,"OK","ERROR")</f>
        <v>OK</v>
      </c>
      <c r="D105" s="325" t="str">
        <f t="shared" si="13"/>
        <v>OK</v>
      </c>
      <c r="E105" s="326" t="str">
        <f t="shared" si="13"/>
        <v>OK</v>
      </c>
      <c r="F105" s="326" t="str">
        <f t="shared" si="13"/>
        <v>OK</v>
      </c>
      <c r="G105" s="326" t="str">
        <f t="shared" si="13"/>
        <v>OK</v>
      </c>
      <c r="H105" s="326" t="str">
        <f t="shared" si="13"/>
        <v>OK</v>
      </c>
      <c r="I105" s="326" t="str">
        <f t="shared" si="13"/>
        <v>OK</v>
      </c>
    </row>
    <row r="106" spans="1:26" ht="12.75">
      <c r="A106" s="93" t="s">
        <v>348</v>
      </c>
      <c r="B106" s="93"/>
      <c r="C106" s="258">
        <v>1.118</v>
      </c>
      <c r="D106" s="258">
        <v>0.872</v>
      </c>
      <c r="E106" s="147">
        <v>2.432</v>
      </c>
      <c r="F106" s="147">
        <v>2.247</v>
      </c>
      <c r="G106" s="147">
        <v>2.279</v>
      </c>
      <c r="H106" s="147">
        <v>2.504</v>
      </c>
      <c r="I106" s="147">
        <v>2.256</v>
      </c>
      <c r="K106" s="316" t="str">
        <f>$K$3</f>
        <v>√</v>
      </c>
      <c r="V106" s="57"/>
      <c r="W106" s="57"/>
      <c r="X106" s="57"/>
      <c r="Y106" s="57"/>
      <c r="Z106" s="57"/>
    </row>
    <row r="107" spans="1:26" ht="12.75">
      <c r="A107" s="93" t="s">
        <v>400</v>
      </c>
      <c r="B107" s="93"/>
      <c r="C107" s="258">
        <v>7.59</v>
      </c>
      <c r="D107" s="258">
        <v>9.031</v>
      </c>
      <c r="E107" s="147">
        <v>8.786</v>
      </c>
      <c r="F107" s="147">
        <v>8.877</v>
      </c>
      <c r="G107" s="147">
        <v>8.572</v>
      </c>
      <c r="H107" s="147">
        <v>8.49</v>
      </c>
      <c r="I107" s="147">
        <v>8.621</v>
      </c>
      <c r="K107" s="316" t="str">
        <f>$K$3</f>
        <v>√</v>
      </c>
      <c r="V107" s="57"/>
      <c r="W107" s="57"/>
      <c r="X107" s="57"/>
      <c r="Y107" s="57"/>
      <c r="Z107" s="57"/>
    </row>
    <row r="108" spans="1:26" ht="12.75">
      <c r="A108" s="93" t="s">
        <v>660</v>
      </c>
      <c r="B108" s="93"/>
      <c r="C108" s="258">
        <v>43.377</v>
      </c>
      <c r="D108" s="259">
        <v>49.726</v>
      </c>
      <c r="E108" s="465">
        <v>62.046</v>
      </c>
      <c r="F108" s="465">
        <v>59.535</v>
      </c>
      <c r="G108" s="465">
        <v>60.682</v>
      </c>
      <c r="H108" s="465">
        <v>58.943</v>
      </c>
      <c r="I108" s="465">
        <v>58.608</v>
      </c>
      <c r="K108" s="322" t="s">
        <v>819</v>
      </c>
      <c r="V108" s="57"/>
      <c r="W108" s="57"/>
      <c r="X108" s="57"/>
      <c r="Y108" s="57"/>
      <c r="Z108" s="57"/>
    </row>
    <row r="109" spans="1:26" ht="12.75">
      <c r="A109" s="93" t="s">
        <v>661</v>
      </c>
      <c r="B109" s="72"/>
      <c r="C109" s="258">
        <v>26.213</v>
      </c>
      <c r="D109" s="258">
        <v>28.637</v>
      </c>
      <c r="E109" s="147">
        <v>29.094</v>
      </c>
      <c r="F109" s="147">
        <v>29.74</v>
      </c>
      <c r="G109" s="147">
        <v>29.913</v>
      </c>
      <c r="H109" s="147">
        <v>29.765</v>
      </c>
      <c r="I109" s="147">
        <v>29.562</v>
      </c>
      <c r="K109" s="316" t="str">
        <f>$K$3</f>
        <v>√</v>
      </c>
      <c r="V109" s="57"/>
      <c r="W109" s="57"/>
      <c r="X109" s="57"/>
      <c r="Y109" s="57"/>
      <c r="Z109" s="57"/>
    </row>
    <row r="110" spans="1:26" ht="12.75">
      <c r="A110" s="93" t="s">
        <v>662</v>
      </c>
      <c r="B110" s="93"/>
      <c r="C110" s="258">
        <v>25.049</v>
      </c>
      <c r="D110" s="258">
        <v>25.696</v>
      </c>
      <c r="E110" s="465">
        <v>27.462</v>
      </c>
      <c r="F110" s="465">
        <v>29.205</v>
      </c>
      <c r="G110" s="465">
        <v>30.495</v>
      </c>
      <c r="H110" s="465">
        <v>31.42</v>
      </c>
      <c r="I110" s="465">
        <v>32.135</v>
      </c>
      <c r="K110" s="316" t="str">
        <f>$K$3</f>
        <v>√</v>
      </c>
      <c r="V110" s="57"/>
      <c r="W110" s="57"/>
      <c r="X110" s="57"/>
      <c r="Y110" s="57"/>
      <c r="Z110" s="57"/>
    </row>
    <row r="111" spans="1:26" ht="12.75">
      <c r="A111" s="93" t="s">
        <v>355</v>
      </c>
      <c r="B111" s="93"/>
      <c r="C111" s="258">
        <v>0.804</v>
      </c>
      <c r="D111" s="258">
        <v>0.845</v>
      </c>
      <c r="E111" s="150">
        <v>0.933</v>
      </c>
      <c r="F111" s="150">
        <v>1.036</v>
      </c>
      <c r="G111" s="150">
        <v>1.049</v>
      </c>
      <c r="H111" s="150">
        <v>1.103</v>
      </c>
      <c r="I111" s="150">
        <v>1.019</v>
      </c>
      <c r="K111" s="316" t="str">
        <f>$K$3</f>
        <v>√</v>
      </c>
      <c r="V111" s="57"/>
      <c r="W111" s="57"/>
      <c r="X111" s="57"/>
      <c r="Y111" s="57"/>
      <c r="Z111" s="57"/>
    </row>
    <row r="112" spans="1:26" ht="12.75">
      <c r="A112" s="93" t="s">
        <v>663</v>
      </c>
      <c r="B112" s="93"/>
      <c r="C112" s="258">
        <v>1.062</v>
      </c>
      <c r="D112" s="258">
        <v>1.375</v>
      </c>
      <c r="E112" s="150">
        <v>1.334</v>
      </c>
      <c r="F112" s="150">
        <v>1.325</v>
      </c>
      <c r="G112" s="150">
        <v>1.307</v>
      </c>
      <c r="H112" s="150">
        <v>1.293</v>
      </c>
      <c r="I112" s="150">
        <v>1.247</v>
      </c>
      <c r="K112" s="322" t="s">
        <v>820</v>
      </c>
      <c r="V112" s="57"/>
      <c r="W112" s="57"/>
      <c r="X112" s="57"/>
      <c r="Y112" s="57"/>
      <c r="Z112" s="57"/>
    </row>
    <row r="113" spans="1:26" ht="12.75">
      <c r="A113" s="72" t="s">
        <v>664</v>
      </c>
      <c r="B113" s="93"/>
      <c r="C113" s="251">
        <f aca="true" t="shared" si="14" ref="C113:I113">SUM(C$106:C$112,C$65:C$66)</f>
        <v>105.21300000000001</v>
      </c>
      <c r="D113" s="251">
        <f t="shared" si="14"/>
        <v>116.18199999999999</v>
      </c>
      <c r="E113" s="158">
        <f t="shared" si="14"/>
        <v>131.81199999999998</v>
      </c>
      <c r="F113" s="158">
        <f t="shared" si="14"/>
        <v>131.66199999999998</v>
      </c>
      <c r="G113" s="158">
        <f t="shared" si="14"/>
        <v>134.696</v>
      </c>
      <c r="H113" s="158">
        <f t="shared" si="14"/>
        <v>135.06900000000002</v>
      </c>
      <c r="I113" s="158">
        <f t="shared" si="14"/>
        <v>136.449</v>
      </c>
      <c r="V113" s="57"/>
      <c r="W113" s="57"/>
      <c r="X113" s="57"/>
      <c r="Y113" s="57"/>
      <c r="Z113" s="57"/>
    </row>
    <row r="114" spans="1:26" ht="12.75">
      <c r="A114" s="93" t="s">
        <v>629</v>
      </c>
      <c r="B114" s="93"/>
      <c r="C114" s="258">
        <v>35.885</v>
      </c>
      <c r="D114" s="258">
        <v>37.167</v>
      </c>
      <c r="E114" s="150">
        <v>57.131</v>
      </c>
      <c r="F114" s="150">
        <v>63.915</v>
      </c>
      <c r="G114" s="150">
        <v>75.371</v>
      </c>
      <c r="H114" s="147">
        <v>83.6</v>
      </c>
      <c r="I114" s="147">
        <v>91.414</v>
      </c>
      <c r="K114" s="322" t="s">
        <v>821</v>
      </c>
      <c r="V114" s="57"/>
      <c r="W114" s="57"/>
      <c r="X114" s="57"/>
      <c r="Y114" s="57"/>
      <c r="Z114" s="57"/>
    </row>
    <row r="115" spans="1:26" ht="12.75">
      <c r="A115" s="93" t="s">
        <v>666</v>
      </c>
      <c r="B115" s="93"/>
      <c r="C115" s="258">
        <v>18.538</v>
      </c>
      <c r="D115" s="258">
        <v>22.032</v>
      </c>
      <c r="E115" s="147">
        <v>24.076</v>
      </c>
      <c r="F115" s="147">
        <v>24.261</v>
      </c>
      <c r="G115" s="147">
        <v>24.241</v>
      </c>
      <c r="H115" s="147">
        <v>24.59</v>
      </c>
      <c r="I115" s="147">
        <v>24.842</v>
      </c>
      <c r="K115" s="322" t="s">
        <v>822</v>
      </c>
      <c r="V115" s="57"/>
      <c r="W115" s="57"/>
      <c r="X115" s="57"/>
      <c r="Y115" s="57"/>
      <c r="Z115" s="57"/>
    </row>
    <row r="116" spans="1:26" ht="12.75">
      <c r="A116" s="72" t="s">
        <v>667</v>
      </c>
      <c r="B116" s="93"/>
      <c r="C116" s="251">
        <f>SUM(C$114:C$115)</f>
        <v>54.423</v>
      </c>
      <c r="D116" s="251">
        <f aca="true" t="shared" si="15" ref="D116:I116">SUM(D$114:D$115)</f>
        <v>59.199</v>
      </c>
      <c r="E116" s="158">
        <f t="shared" si="15"/>
        <v>81.207</v>
      </c>
      <c r="F116" s="158">
        <f t="shared" si="15"/>
        <v>88.176</v>
      </c>
      <c r="G116" s="158">
        <f t="shared" si="15"/>
        <v>99.612</v>
      </c>
      <c r="H116" s="158">
        <f t="shared" si="15"/>
        <v>108.19</v>
      </c>
      <c r="I116" s="158">
        <f t="shared" si="15"/>
        <v>116.256</v>
      </c>
      <c r="V116" s="57"/>
      <c r="W116" s="57"/>
      <c r="X116" s="57"/>
      <c r="Y116" s="57"/>
      <c r="Z116" s="57"/>
    </row>
    <row r="117" spans="1:26" ht="12.75">
      <c r="A117" s="72" t="s">
        <v>139</v>
      </c>
      <c r="B117" s="93"/>
      <c r="C117" s="296">
        <v>50.79</v>
      </c>
      <c r="D117" s="296">
        <v>56.983</v>
      </c>
      <c r="E117" s="297">
        <v>50.605</v>
      </c>
      <c r="F117" s="297">
        <v>43.486</v>
      </c>
      <c r="G117" s="297">
        <v>35.084</v>
      </c>
      <c r="H117" s="297">
        <v>26.879</v>
      </c>
      <c r="I117" s="297">
        <v>20.193</v>
      </c>
      <c r="K117" s="322" t="s">
        <v>823</v>
      </c>
      <c r="V117" s="57"/>
      <c r="W117" s="57"/>
      <c r="X117" s="57"/>
      <c r="Y117" s="57"/>
      <c r="Z117" s="57"/>
    </row>
    <row r="118" spans="1:9" ht="13.5">
      <c r="A118" s="328" t="s">
        <v>668</v>
      </c>
      <c r="B118" s="93"/>
      <c r="C118" s="325" t="str">
        <f aca="true" t="shared" si="16" ref="C118:I118">IF(ROUND(C$117-(SUM(C$106:C$112,C$65:C$66)-SUM(C$114:C$115)),3)=0,"OK","ERROR")</f>
        <v>OK</v>
      </c>
      <c r="D118" s="325" t="str">
        <f t="shared" si="16"/>
        <v>OK</v>
      </c>
      <c r="E118" s="326" t="str">
        <f t="shared" si="16"/>
        <v>OK</v>
      </c>
      <c r="F118" s="326" t="str">
        <f t="shared" si="16"/>
        <v>OK</v>
      </c>
      <c r="G118" s="326" t="str">
        <f t="shared" si="16"/>
        <v>OK</v>
      </c>
      <c r="H118" s="326" t="str">
        <f t="shared" si="16"/>
        <v>OK</v>
      </c>
      <c r="I118" s="326" t="str">
        <f t="shared" si="16"/>
        <v>OK</v>
      </c>
    </row>
    <row r="119" spans="1:9" ht="15.75">
      <c r="A119" s="73" t="s">
        <v>358</v>
      </c>
      <c r="B119" s="73"/>
      <c r="C119" s="252"/>
      <c r="D119" s="252"/>
      <c r="E119" s="466"/>
      <c r="F119" s="466"/>
      <c r="G119" s="466"/>
      <c r="H119" s="466"/>
      <c r="I119" s="466"/>
    </row>
    <row r="120" spans="1:26" ht="12.75">
      <c r="A120" s="93" t="s">
        <v>217</v>
      </c>
      <c r="B120" s="93"/>
      <c r="C120" s="249">
        <v>20.98</v>
      </c>
      <c r="D120" s="249">
        <v>23.345</v>
      </c>
      <c r="E120" s="147">
        <v>22.967</v>
      </c>
      <c r="F120" s="147">
        <v>21.699</v>
      </c>
      <c r="G120" s="147">
        <v>21.732</v>
      </c>
      <c r="H120" s="147">
        <v>22.594</v>
      </c>
      <c r="I120" s="147">
        <v>23.909</v>
      </c>
      <c r="K120" s="316" t="str">
        <f>$K$3</f>
        <v>√</v>
      </c>
      <c r="V120" s="57"/>
      <c r="W120" s="57"/>
      <c r="X120" s="57"/>
      <c r="Y120" s="57"/>
      <c r="Z120" s="57"/>
    </row>
    <row r="121" spans="1:26" ht="12.75">
      <c r="A121" s="93" t="s">
        <v>218</v>
      </c>
      <c r="B121" s="93"/>
      <c r="C121" s="249">
        <v>4.44</v>
      </c>
      <c r="D121" s="249">
        <v>5.071</v>
      </c>
      <c r="E121" s="147">
        <v>4.639</v>
      </c>
      <c r="F121" s="147">
        <v>4.387</v>
      </c>
      <c r="G121" s="147">
        <v>4.235</v>
      </c>
      <c r="H121" s="147">
        <v>4.469</v>
      </c>
      <c r="I121" s="147">
        <v>4.713</v>
      </c>
      <c r="K121" s="332" t="s">
        <v>695</v>
      </c>
      <c r="V121" s="57"/>
      <c r="W121" s="57"/>
      <c r="X121" s="57"/>
      <c r="Y121" s="57"/>
      <c r="Z121" s="57"/>
    </row>
    <row r="122" spans="1:26" ht="12.75">
      <c r="A122" s="93" t="s">
        <v>219</v>
      </c>
      <c r="B122" s="93"/>
      <c r="C122" s="249">
        <v>-1.08</v>
      </c>
      <c r="D122" s="249">
        <v>-1.47</v>
      </c>
      <c r="E122" s="147">
        <v>-1.731</v>
      </c>
      <c r="F122" s="147">
        <v>-1.651</v>
      </c>
      <c r="G122" s="147">
        <v>-1.651</v>
      </c>
      <c r="H122" s="147">
        <v>-1.671</v>
      </c>
      <c r="I122" s="147">
        <v>-1.763</v>
      </c>
      <c r="K122" s="332" t="str">
        <f>$K$121</f>
        <v>Used in 'Other taxes' total</v>
      </c>
      <c r="V122" s="57"/>
      <c r="W122" s="57"/>
      <c r="X122" s="57"/>
      <c r="Y122" s="57"/>
      <c r="Z122" s="57"/>
    </row>
    <row r="123" spans="1:26" ht="12.75">
      <c r="A123" s="93" t="s">
        <v>220</v>
      </c>
      <c r="B123" s="93"/>
      <c r="C123" s="249">
        <v>0.468</v>
      </c>
      <c r="D123" s="249">
        <v>0.522</v>
      </c>
      <c r="E123" s="147">
        <v>0.499</v>
      </c>
      <c r="F123" s="147">
        <v>0.487</v>
      </c>
      <c r="G123" s="147">
        <v>0.496</v>
      </c>
      <c r="H123" s="147">
        <v>0.52</v>
      </c>
      <c r="I123" s="147">
        <v>0.544</v>
      </c>
      <c r="K123" s="332" t="str">
        <f>$K$121</f>
        <v>Used in 'Other taxes' total</v>
      </c>
      <c r="V123" s="57"/>
      <c r="W123" s="57"/>
      <c r="X123" s="57"/>
      <c r="Y123" s="57"/>
      <c r="Z123" s="57"/>
    </row>
    <row r="124" spans="1:26" ht="12.75">
      <c r="A124" s="93" t="s">
        <v>647</v>
      </c>
      <c r="B124" s="93"/>
      <c r="C124" s="249">
        <v>9.891</v>
      </c>
      <c r="D124" s="249">
        <v>10.122</v>
      </c>
      <c r="E124" s="147">
        <v>7.893</v>
      </c>
      <c r="F124" s="147">
        <v>7.852</v>
      </c>
      <c r="G124" s="147">
        <v>8.528</v>
      </c>
      <c r="H124" s="147">
        <v>9.483</v>
      </c>
      <c r="I124" s="147">
        <v>10.572</v>
      </c>
      <c r="K124" s="316" t="str">
        <f>$K$3</f>
        <v>√</v>
      </c>
      <c r="V124" s="57"/>
      <c r="W124" s="57"/>
      <c r="X124" s="57"/>
      <c r="Y124" s="57"/>
      <c r="Z124" s="57"/>
    </row>
    <row r="125" spans="1:26" ht="12.75">
      <c r="A125" s="93" t="s">
        <v>648</v>
      </c>
      <c r="B125" s="93"/>
      <c r="C125" s="249">
        <v>2.318</v>
      </c>
      <c r="D125" s="249">
        <v>2.771</v>
      </c>
      <c r="E125" s="147">
        <v>2.826</v>
      </c>
      <c r="F125" s="147">
        <v>2.262</v>
      </c>
      <c r="G125" s="147">
        <v>1.777</v>
      </c>
      <c r="H125" s="147">
        <v>1.879</v>
      </c>
      <c r="I125" s="147">
        <v>2.248</v>
      </c>
      <c r="K125" s="332" t="str">
        <f>$K$121</f>
        <v>Used in 'Other taxes' total</v>
      </c>
      <c r="V125" s="57"/>
      <c r="W125" s="57"/>
      <c r="X125" s="57"/>
      <c r="Y125" s="57"/>
      <c r="Z125" s="57"/>
    </row>
    <row r="126" spans="1:26" ht="12.75">
      <c r="A126" s="93" t="s">
        <v>649</v>
      </c>
      <c r="B126" s="93"/>
      <c r="C126" s="249">
        <v>11.215</v>
      </c>
      <c r="D126" s="249">
        <v>11.115</v>
      </c>
      <c r="E126" s="147">
        <v>11.593</v>
      </c>
      <c r="F126" s="147">
        <v>11.161</v>
      </c>
      <c r="G126" s="147">
        <v>11.251</v>
      </c>
      <c r="H126" s="147">
        <v>11.66</v>
      </c>
      <c r="I126" s="147">
        <v>12.335</v>
      </c>
      <c r="K126" s="332" t="str">
        <f>$K$121</f>
        <v>Used in 'Other taxes' total</v>
      </c>
      <c r="V126" s="57"/>
      <c r="W126" s="57"/>
      <c r="X126" s="57"/>
      <c r="Y126" s="57"/>
      <c r="Z126" s="57"/>
    </row>
    <row r="127" spans="1:26" ht="12.75">
      <c r="A127" s="93" t="s">
        <v>650</v>
      </c>
      <c r="B127" s="93"/>
      <c r="C127" s="249">
        <v>4.832</v>
      </c>
      <c r="D127" s="249">
        <v>4.896</v>
      </c>
      <c r="E127" s="147">
        <v>4.837</v>
      </c>
      <c r="F127" s="147">
        <v>4.855</v>
      </c>
      <c r="G127" s="147">
        <v>4.958</v>
      </c>
      <c r="H127" s="147">
        <v>5.079</v>
      </c>
      <c r="I127" s="147">
        <v>5.223</v>
      </c>
      <c r="K127" s="332" t="str">
        <f>$K$121</f>
        <v>Used in 'Other taxes' total</v>
      </c>
      <c r="V127" s="57"/>
      <c r="W127" s="57"/>
      <c r="X127" s="57"/>
      <c r="Y127" s="57"/>
      <c r="Z127" s="57"/>
    </row>
    <row r="128" spans="1:9" ht="13.5">
      <c r="A128" s="328" t="s">
        <v>658</v>
      </c>
      <c r="B128" s="235"/>
      <c r="C128" s="262" t="str">
        <f aca="true" t="shared" si="17" ref="C128:I128">IF(ROUND(C$5-SUM(C$120:C$127),3)=0,"OK","ERROR")</f>
        <v>OK</v>
      </c>
      <c r="D128" s="262" t="str">
        <f t="shared" si="17"/>
        <v>OK</v>
      </c>
      <c r="E128" s="149" t="str">
        <f t="shared" si="17"/>
        <v>OK</v>
      </c>
      <c r="F128" s="149" t="str">
        <f t="shared" si="17"/>
        <v>OK</v>
      </c>
      <c r="G128" s="149" t="str">
        <f t="shared" si="17"/>
        <v>OK</v>
      </c>
      <c r="H128" s="149" t="str">
        <f t="shared" si="17"/>
        <v>OK</v>
      </c>
      <c r="I128" s="149" t="str">
        <f t="shared" si="17"/>
        <v>OK</v>
      </c>
    </row>
    <row r="129" spans="1:9" ht="15.75">
      <c r="A129" s="73" t="s">
        <v>718</v>
      </c>
      <c r="B129" s="235"/>
      <c r="C129" s="252"/>
      <c r="D129" s="252"/>
      <c r="E129" s="466"/>
      <c r="F129" s="466"/>
      <c r="G129" s="466"/>
      <c r="H129" s="466"/>
      <c r="I129" s="466"/>
    </row>
    <row r="130" spans="1:26" ht="12.75">
      <c r="A130" s="93" t="s">
        <v>677</v>
      </c>
      <c r="B130" s="235"/>
      <c r="C130" s="249">
        <v>0.756</v>
      </c>
      <c r="D130" s="249">
        <v>1.233</v>
      </c>
      <c r="E130" s="147">
        <v>1.329</v>
      </c>
      <c r="F130" s="147">
        <v>0.832</v>
      </c>
      <c r="G130" s="147">
        <v>0.856</v>
      </c>
      <c r="H130" s="147">
        <v>0.878</v>
      </c>
      <c r="I130" s="147">
        <v>0.891</v>
      </c>
      <c r="K130" s="332" t="s">
        <v>705</v>
      </c>
      <c r="V130" s="57"/>
      <c r="W130" s="57"/>
      <c r="X130" s="57"/>
      <c r="Y130" s="57"/>
      <c r="Z130" s="57"/>
    </row>
    <row r="131" spans="1:26" ht="12.75">
      <c r="A131" s="93" t="s">
        <v>678</v>
      </c>
      <c r="B131" s="235"/>
      <c r="C131" s="249">
        <v>0.484</v>
      </c>
      <c r="D131" s="249">
        <v>0.704</v>
      </c>
      <c r="E131" s="147">
        <v>0.739</v>
      </c>
      <c r="F131" s="147">
        <v>0.927</v>
      </c>
      <c r="G131" s="147">
        <v>1.031</v>
      </c>
      <c r="H131" s="147">
        <v>1.028</v>
      </c>
      <c r="I131" s="147">
        <v>1.033</v>
      </c>
      <c r="K131" s="332" t="str">
        <f>$K$130</f>
        <v>Used in 'CE &amp; SOE investment income' total</v>
      </c>
      <c r="V131" s="57"/>
      <c r="W131" s="57"/>
      <c r="X131" s="57"/>
      <c r="Y131" s="57"/>
      <c r="Z131" s="57"/>
    </row>
    <row r="132" spans="1:26" ht="12.75">
      <c r="A132" s="93" t="s">
        <v>679</v>
      </c>
      <c r="B132" s="235"/>
      <c r="C132" s="249">
        <v>0.825</v>
      </c>
      <c r="D132" s="249">
        <v>1.067</v>
      </c>
      <c r="E132" s="147">
        <v>0.966</v>
      </c>
      <c r="F132" s="147">
        <v>0.676</v>
      </c>
      <c r="G132" s="147">
        <v>0.721</v>
      </c>
      <c r="H132" s="147">
        <v>0.786</v>
      </c>
      <c r="I132" s="147">
        <v>0.938</v>
      </c>
      <c r="K132" s="316" t="str">
        <f>$K$3</f>
        <v>√</v>
      </c>
      <c r="V132" s="57"/>
      <c r="W132" s="57"/>
      <c r="X132" s="57"/>
      <c r="Y132" s="57"/>
      <c r="Z132" s="57"/>
    </row>
    <row r="133" spans="1:9" ht="13.5">
      <c r="A133" s="328" t="s">
        <v>680</v>
      </c>
      <c r="B133" s="235"/>
      <c r="C133" s="262" t="str">
        <f aca="true" t="shared" si="18" ref="C133:I133">IF(ROUND(C$8-C$98-SUM(C$130:C$131,-C$132),3)=0,"OK","ERROR")</f>
        <v>OK</v>
      </c>
      <c r="D133" s="262" t="str">
        <f t="shared" si="18"/>
        <v>OK</v>
      </c>
      <c r="E133" s="149" t="str">
        <f t="shared" si="18"/>
        <v>OK</v>
      </c>
      <c r="F133" s="149" t="str">
        <f t="shared" si="18"/>
        <v>OK</v>
      </c>
      <c r="G133" s="149" t="str">
        <f t="shared" si="18"/>
        <v>OK</v>
      </c>
      <c r="H133" s="149" t="str">
        <f t="shared" si="18"/>
        <v>OK</v>
      </c>
      <c r="I133" s="149" t="str">
        <f t="shared" si="18"/>
        <v>OK</v>
      </c>
    </row>
    <row r="134" spans="1:16" ht="15.75">
      <c r="A134" s="73" t="s">
        <v>359</v>
      </c>
      <c r="B134" s="73"/>
      <c r="C134" s="260"/>
      <c r="D134" s="260"/>
      <c r="E134" s="467"/>
      <c r="F134" s="467"/>
      <c r="G134" s="467"/>
      <c r="H134" s="467"/>
      <c r="I134" s="467"/>
      <c r="L134" s="57"/>
      <c r="M134" s="57"/>
      <c r="N134" s="57"/>
      <c r="O134" s="57"/>
      <c r="P134" s="57"/>
    </row>
    <row r="135" spans="1:26" ht="12.75">
      <c r="A135" s="93" t="s">
        <v>484</v>
      </c>
      <c r="B135" s="93"/>
      <c r="C135" s="248">
        <v>6.81</v>
      </c>
      <c r="D135" s="248">
        <v>7.348</v>
      </c>
      <c r="E135" s="147">
        <v>7.746</v>
      </c>
      <c r="F135" s="147">
        <v>8.246</v>
      </c>
      <c r="G135" s="147">
        <v>8.665</v>
      </c>
      <c r="H135" s="147">
        <v>9.186</v>
      </c>
      <c r="I135" s="147">
        <v>9.666</v>
      </c>
      <c r="K135" s="316" t="str">
        <f>$K$3</f>
        <v>√</v>
      </c>
      <c r="V135" s="57"/>
      <c r="W135" s="57"/>
      <c r="X135" s="57"/>
      <c r="Y135" s="57"/>
      <c r="Z135" s="57"/>
    </row>
    <row r="136" spans="1:26" ht="12.75">
      <c r="A136" s="93" t="s">
        <v>486</v>
      </c>
      <c r="B136" s="93"/>
      <c r="C136" s="248">
        <v>1.468</v>
      </c>
      <c r="D136" s="248">
        <v>1.478</v>
      </c>
      <c r="E136" s="147">
        <v>1.528</v>
      </c>
      <c r="F136" s="147">
        <v>1.647</v>
      </c>
      <c r="G136" s="147">
        <v>1.711</v>
      </c>
      <c r="H136" s="147">
        <v>1.759</v>
      </c>
      <c r="I136" s="147">
        <v>1.786</v>
      </c>
      <c r="K136" s="332" t="s">
        <v>709</v>
      </c>
      <c r="V136" s="57"/>
      <c r="W136" s="57"/>
      <c r="X136" s="57"/>
      <c r="Y136" s="57"/>
      <c r="Z136" s="57"/>
    </row>
    <row r="137" spans="1:26" ht="12.75">
      <c r="A137" s="93" t="s">
        <v>485</v>
      </c>
      <c r="B137" s="93"/>
      <c r="C137" s="248">
        <v>0.613</v>
      </c>
      <c r="D137" s="248">
        <v>0.458</v>
      </c>
      <c r="E137" s="147">
        <v>0.588</v>
      </c>
      <c r="F137" s="147">
        <v>1.078</v>
      </c>
      <c r="G137" s="147">
        <v>1.268</v>
      </c>
      <c r="H137" s="147">
        <v>1.283</v>
      </c>
      <c r="I137" s="147">
        <v>1.205</v>
      </c>
      <c r="K137" s="316" t="str">
        <f>$K$3</f>
        <v>√</v>
      </c>
      <c r="V137" s="57"/>
      <c r="W137" s="57"/>
      <c r="X137" s="57"/>
      <c r="Y137" s="57"/>
      <c r="Z137" s="57"/>
    </row>
    <row r="138" spans="1:26" ht="12.75">
      <c r="A138" s="93" t="s">
        <v>488</v>
      </c>
      <c r="B138" s="93"/>
      <c r="C138" s="261">
        <v>1.132</v>
      </c>
      <c r="D138" s="261">
        <v>1.216</v>
      </c>
      <c r="E138" s="150">
        <v>1.258</v>
      </c>
      <c r="F138" s="150">
        <v>1.297</v>
      </c>
      <c r="G138" s="150">
        <v>1.337</v>
      </c>
      <c r="H138" s="147">
        <v>1.375</v>
      </c>
      <c r="I138" s="147">
        <v>1.391</v>
      </c>
      <c r="K138" s="332" t="str">
        <f>$K$136</f>
        <v>Used in 'Domestic Purposes Benefit, Invalid's Benefit and Sickness Benefit' total</v>
      </c>
      <c r="V138" s="57"/>
      <c r="W138" s="57"/>
      <c r="X138" s="57"/>
      <c r="Y138" s="57"/>
      <c r="Z138" s="57"/>
    </row>
    <row r="139" spans="1:26" ht="12.75">
      <c r="A139" s="93" t="s">
        <v>489</v>
      </c>
      <c r="B139" s="93"/>
      <c r="C139" s="261">
        <v>0.573</v>
      </c>
      <c r="D139" s="261">
        <v>0.582</v>
      </c>
      <c r="E139" s="150">
        <v>0.61</v>
      </c>
      <c r="F139" s="150">
        <v>0.692</v>
      </c>
      <c r="G139" s="150">
        <v>0.736</v>
      </c>
      <c r="H139" s="150">
        <v>0.747</v>
      </c>
      <c r="I139" s="147">
        <v>0.751</v>
      </c>
      <c r="J139" s="57"/>
      <c r="K139" s="332" t="str">
        <f>$K$136</f>
        <v>Used in 'Domestic Purposes Benefit, Invalid's Benefit and Sickness Benefit' total</v>
      </c>
      <c r="V139" s="57"/>
      <c r="W139" s="57"/>
      <c r="X139" s="57"/>
      <c r="Y139" s="57"/>
      <c r="Z139" s="57"/>
    </row>
    <row r="140" spans="1:26" ht="12.75">
      <c r="A140" s="93" t="s">
        <v>637</v>
      </c>
      <c r="B140" s="93"/>
      <c r="C140" s="261">
        <v>0</v>
      </c>
      <c r="D140" s="261">
        <v>1.102</v>
      </c>
      <c r="E140" s="150">
        <v>1.42</v>
      </c>
      <c r="F140" s="150">
        <v>0.919</v>
      </c>
      <c r="G140" s="150">
        <v>0.94</v>
      </c>
      <c r="H140" s="150">
        <v>0.956</v>
      </c>
      <c r="I140" s="150">
        <v>0.982</v>
      </c>
      <c r="J140" s="57"/>
      <c r="K140" s="316" t="str">
        <f>$K$3</f>
        <v>√</v>
      </c>
      <c r="V140" s="57"/>
      <c r="W140" s="57"/>
      <c r="X140" s="57"/>
      <c r="Y140" s="57"/>
      <c r="Z140" s="57"/>
    </row>
    <row r="141" spans="1:11" ht="15.75">
      <c r="A141" s="73" t="s">
        <v>719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316"/>
    </row>
    <row r="142" spans="1:26" ht="12.75">
      <c r="A142" s="93" t="s">
        <v>888</v>
      </c>
      <c r="B142" s="93"/>
      <c r="C142" s="248">
        <v>16.991</v>
      </c>
      <c r="D142" s="248">
        <v>20.536</v>
      </c>
      <c r="E142" s="147">
        <v>20.999</v>
      </c>
      <c r="F142" s="147">
        <v>15.593</v>
      </c>
      <c r="G142" s="147">
        <v>14.57</v>
      </c>
      <c r="H142" s="147">
        <v>10.013</v>
      </c>
      <c r="I142" s="147">
        <v>7.185</v>
      </c>
      <c r="J142" s="57"/>
      <c r="K142" s="332" t="s">
        <v>824</v>
      </c>
      <c r="V142" s="57"/>
      <c r="W142" s="57"/>
      <c r="X142" s="57"/>
      <c r="Y142" s="57"/>
      <c r="Z142" s="57"/>
    </row>
    <row r="143" spans="1:26" ht="12.75">
      <c r="A143" s="93" t="s">
        <v>889</v>
      </c>
      <c r="B143" s="93"/>
      <c r="C143" s="248">
        <v>17.718</v>
      </c>
      <c r="D143" s="248">
        <v>18.159</v>
      </c>
      <c r="E143" s="147">
        <v>29.413</v>
      </c>
      <c r="F143" s="147">
        <v>28.823</v>
      </c>
      <c r="G143" s="147">
        <v>28.887</v>
      </c>
      <c r="H143" s="147">
        <v>28.25</v>
      </c>
      <c r="I143" s="147">
        <v>27.415</v>
      </c>
      <c r="J143" s="57"/>
      <c r="K143" s="332" t="s">
        <v>824</v>
      </c>
      <c r="V143" s="57"/>
      <c r="W143" s="57"/>
      <c r="X143" s="57"/>
      <c r="Y143" s="57"/>
      <c r="Z143" s="57"/>
    </row>
    <row r="144" spans="1:26" ht="12.75">
      <c r="A144" s="93" t="s">
        <v>365</v>
      </c>
      <c r="B144" s="93"/>
      <c r="C144" s="248">
        <v>12.576</v>
      </c>
      <c r="D144" s="248">
        <v>13.791</v>
      </c>
      <c r="E144" s="147">
        <v>11.996</v>
      </c>
      <c r="F144" s="147">
        <v>13.34</v>
      </c>
      <c r="G144" s="147">
        <v>14.918</v>
      </c>
      <c r="H144" s="147">
        <v>16.836</v>
      </c>
      <c r="I144" s="147">
        <v>18.725</v>
      </c>
      <c r="J144" s="57"/>
      <c r="K144" s="332" t="str">
        <f>$K$143</f>
        <v>Used in calculation of all components of CC 'Marketable securities, derivatives in gain and share investments'</v>
      </c>
      <c r="V144" s="57"/>
      <c r="W144" s="57"/>
      <c r="X144" s="57"/>
      <c r="Y144" s="57"/>
      <c r="Z144" s="57"/>
    </row>
    <row r="145" spans="1:26" ht="12.75">
      <c r="A145" s="93" t="s">
        <v>366</v>
      </c>
      <c r="B145" s="93"/>
      <c r="C145" s="248">
        <v>15.003</v>
      </c>
      <c r="D145" s="248">
        <v>17.006</v>
      </c>
      <c r="E145" s="147">
        <v>17.653</v>
      </c>
      <c r="F145" s="147">
        <v>17.625</v>
      </c>
      <c r="G145" s="147">
        <v>17.881</v>
      </c>
      <c r="H145" s="147">
        <v>18.556</v>
      </c>
      <c r="I145" s="147">
        <v>19.253</v>
      </c>
      <c r="J145" s="57"/>
      <c r="K145" s="332" t="str">
        <f>$K$143</f>
        <v>Used in calculation of all components of CC 'Marketable securities, derivatives in gain and share investments'</v>
      </c>
      <c r="V145" s="57"/>
      <c r="W145" s="57"/>
      <c r="X145" s="57"/>
      <c r="Y145" s="57"/>
      <c r="Z145" s="57"/>
    </row>
    <row r="146" spans="1:26" ht="12.75">
      <c r="A146" s="93" t="s">
        <v>890</v>
      </c>
      <c r="B146" s="93"/>
      <c r="C146" s="261">
        <v>10.204</v>
      </c>
      <c r="D146" s="261">
        <v>9.595</v>
      </c>
      <c r="E146" s="150">
        <v>6.797</v>
      </c>
      <c r="F146" s="150">
        <v>4.722</v>
      </c>
      <c r="G146" s="150">
        <v>4.723</v>
      </c>
      <c r="H146" s="150">
        <v>3.719</v>
      </c>
      <c r="I146" s="150">
        <v>3.094</v>
      </c>
      <c r="J146" s="57"/>
      <c r="K146" s="332" t="str">
        <f>$K$143</f>
        <v>Used in calculation of all components of CC 'Marketable securities, derivatives in gain and share investments'</v>
      </c>
      <c r="V146" s="57"/>
      <c r="W146" s="57"/>
      <c r="X146" s="57"/>
      <c r="Y146" s="57"/>
      <c r="Z146" s="57"/>
    </row>
    <row r="147" spans="1:26" ht="12.75">
      <c r="A147" s="93" t="s">
        <v>397</v>
      </c>
      <c r="B147" s="93"/>
      <c r="C147" s="261">
        <v>12.169</v>
      </c>
      <c r="D147" s="261">
        <v>12.958</v>
      </c>
      <c r="E147" s="150">
        <v>13.503</v>
      </c>
      <c r="F147" s="150">
        <v>14.543</v>
      </c>
      <c r="G147" s="150">
        <v>15.872</v>
      </c>
      <c r="H147" s="150">
        <v>17.335</v>
      </c>
      <c r="I147" s="150">
        <v>18.729</v>
      </c>
      <c r="J147" s="57"/>
      <c r="K147" s="332" t="s">
        <v>825</v>
      </c>
      <c r="V147" s="57"/>
      <c r="W147" s="57"/>
      <c r="X147" s="57"/>
      <c r="Y147" s="57"/>
      <c r="Z147" s="57"/>
    </row>
    <row r="148" spans="1:26" ht="12.75">
      <c r="A148" s="93" t="s">
        <v>398</v>
      </c>
      <c r="B148" s="93"/>
      <c r="C148" s="261">
        <v>5.484</v>
      </c>
      <c r="D148" s="261">
        <v>5.615</v>
      </c>
      <c r="E148" s="150">
        <v>5.82</v>
      </c>
      <c r="F148" s="150">
        <v>6.148</v>
      </c>
      <c r="G148" s="150">
        <v>6.498</v>
      </c>
      <c r="H148" s="150">
        <v>6.872</v>
      </c>
      <c r="I148" s="150">
        <v>7.273</v>
      </c>
      <c r="J148" s="57"/>
      <c r="K148" s="332" t="str">
        <f>$K$147</f>
        <v>Used in calculation of all components of TC 'Marketable securities, derivatives in gain and share investments'</v>
      </c>
      <c r="V148" s="57"/>
      <c r="W148" s="57"/>
      <c r="X148" s="57"/>
      <c r="Y148" s="57"/>
      <c r="Z148" s="57"/>
    </row>
    <row r="149" spans="1:26" ht="12.75">
      <c r="A149" s="93" t="s">
        <v>720</v>
      </c>
      <c r="B149" s="93"/>
      <c r="C149" s="249">
        <v>6.297</v>
      </c>
      <c r="D149" s="249">
        <v>6.844</v>
      </c>
      <c r="E149" s="147">
        <v>6.424</v>
      </c>
      <c r="F149" s="147">
        <v>6.288</v>
      </c>
      <c r="G149" s="147">
        <v>6.27</v>
      </c>
      <c r="H149" s="147">
        <v>6.359</v>
      </c>
      <c r="I149" s="147">
        <v>6.429</v>
      </c>
      <c r="J149" s="57"/>
      <c r="K149" s="332" t="str">
        <f>$K$147</f>
        <v>Used in calculation of all components of TC 'Marketable securities, derivatives in gain and share investments'</v>
      </c>
      <c r="V149" s="57"/>
      <c r="W149" s="57"/>
      <c r="X149" s="57"/>
      <c r="Y149" s="57"/>
      <c r="Z149" s="57"/>
    </row>
    <row r="150" spans="1:26" ht="12.75">
      <c r="A150" s="93" t="s">
        <v>891</v>
      </c>
      <c r="B150" s="93"/>
      <c r="C150" s="249">
        <v>1.407</v>
      </c>
      <c r="D150" s="249">
        <v>1.517</v>
      </c>
      <c r="E150" s="147">
        <v>1.42</v>
      </c>
      <c r="F150" s="147">
        <v>1.425</v>
      </c>
      <c r="G150" s="147">
        <v>1.423</v>
      </c>
      <c r="H150" s="147">
        <v>1.43</v>
      </c>
      <c r="I150" s="147">
        <v>1.437</v>
      </c>
      <c r="J150" s="57"/>
      <c r="K150" s="332" t="str">
        <f>$K$147</f>
        <v>Used in calculation of all components of TC 'Marketable securities, derivatives in gain and share investments'</v>
      </c>
      <c r="V150" s="57"/>
      <c r="W150" s="57"/>
      <c r="X150" s="57"/>
      <c r="Y150" s="57"/>
      <c r="Z150" s="57"/>
    </row>
    <row r="151" spans="1:26" ht="12.75">
      <c r="A151" s="93" t="s">
        <v>678</v>
      </c>
      <c r="B151" s="93"/>
      <c r="C151" s="249">
        <v>8.942</v>
      </c>
      <c r="D151" s="249">
        <v>11.726</v>
      </c>
      <c r="E151" s="147">
        <v>13.991</v>
      </c>
      <c r="F151" s="147">
        <v>14.451</v>
      </c>
      <c r="G151" s="147">
        <v>14.649</v>
      </c>
      <c r="H151" s="147">
        <v>14.765</v>
      </c>
      <c r="I151" s="147">
        <v>15.148</v>
      </c>
      <c r="J151" s="57"/>
      <c r="K151" s="332" t="str">
        <f>$K$147</f>
        <v>Used in calculation of all components of TC 'Marketable securities, derivatives in gain and share investments'</v>
      </c>
      <c r="V151" s="57"/>
      <c r="W151" s="57"/>
      <c r="X151" s="57"/>
      <c r="Y151" s="57"/>
      <c r="Z151" s="57"/>
    </row>
    <row r="152" spans="1:26" ht="12.75">
      <c r="A152" s="93" t="s">
        <v>892</v>
      </c>
      <c r="B152" s="93"/>
      <c r="C152" s="249">
        <v>9.849</v>
      </c>
      <c r="D152" s="249">
        <v>10.46</v>
      </c>
      <c r="E152" s="147">
        <v>12.06</v>
      </c>
      <c r="F152" s="147">
        <v>12.394</v>
      </c>
      <c r="G152" s="147">
        <v>12.877</v>
      </c>
      <c r="H152" s="147">
        <v>13.327</v>
      </c>
      <c r="I152" s="147">
        <v>13.573</v>
      </c>
      <c r="K152" s="332" t="str">
        <f>$K$147</f>
        <v>Used in calculation of all components of TC 'Marketable securities, derivatives in gain and share investments'</v>
      </c>
      <c r="V152" s="57"/>
      <c r="W152" s="57"/>
      <c r="X152" s="57"/>
      <c r="Y152" s="57"/>
      <c r="Z152" s="57"/>
    </row>
    <row r="153" spans="1:11" ht="13.5">
      <c r="A153" s="328" t="s">
        <v>721</v>
      </c>
      <c r="B153" s="235"/>
      <c r="C153" s="262" t="str">
        <f aca="true" t="shared" si="19" ref="C153:I153">IF(ROUND(SUM(C$55:C$59)-SUM(C$142:C$145,-C$146,C$147:C$149,-C$150,C$151,-C$152),3)=0,"OK","ERROR")</f>
        <v>OK</v>
      </c>
      <c r="D153" s="262" t="str">
        <f t="shared" si="19"/>
        <v>OK</v>
      </c>
      <c r="E153" s="149" t="str">
        <f t="shared" si="19"/>
        <v>OK</v>
      </c>
      <c r="F153" s="149" t="str">
        <f t="shared" si="19"/>
        <v>OK</v>
      </c>
      <c r="G153" s="149" t="str">
        <f t="shared" si="19"/>
        <v>OK</v>
      </c>
      <c r="H153" s="149" t="str">
        <f t="shared" si="19"/>
        <v>OK</v>
      </c>
      <c r="I153" s="149" t="str">
        <f t="shared" si="19"/>
        <v>OK</v>
      </c>
      <c r="J153" s="57"/>
      <c r="K153" s="316"/>
    </row>
    <row r="154" spans="1:11" ht="15.75">
      <c r="A154" s="73" t="s">
        <v>487</v>
      </c>
      <c r="B154" s="73"/>
      <c r="C154" s="252"/>
      <c r="D154" s="252"/>
      <c r="E154" s="463"/>
      <c r="F154" s="463"/>
      <c r="G154" s="463"/>
      <c r="H154" s="463"/>
      <c r="I154" s="463"/>
      <c r="J154" s="57"/>
      <c r="K154" s="316"/>
    </row>
    <row r="155" spans="1:26" ht="12.75">
      <c r="A155" s="72" t="s">
        <v>638</v>
      </c>
      <c r="B155" s="235"/>
      <c r="C155" s="248">
        <v>9.413</v>
      </c>
      <c r="D155" s="248">
        <v>9.573</v>
      </c>
      <c r="E155" s="147">
        <v>10.32</v>
      </c>
      <c r="F155" s="147">
        <v>11.11</v>
      </c>
      <c r="G155" s="147">
        <v>11.907</v>
      </c>
      <c r="H155" s="147">
        <v>12.673</v>
      </c>
      <c r="I155" s="147">
        <v>13.41</v>
      </c>
      <c r="K155" s="316" t="str">
        <f aca="true" t="shared" si="20" ref="K155:K162">$K$3</f>
        <v>√</v>
      </c>
      <c r="V155" s="57"/>
      <c r="W155" s="57"/>
      <c r="X155" s="57"/>
      <c r="Y155" s="57"/>
      <c r="Z155" s="57"/>
    </row>
    <row r="156" spans="1:26" ht="12.75">
      <c r="A156" s="323" t="s">
        <v>639</v>
      </c>
      <c r="B156" s="93"/>
      <c r="C156" s="248">
        <v>5.569</v>
      </c>
      <c r="D156" s="248">
        <v>6.011</v>
      </c>
      <c r="E156" s="147">
        <v>6.741</v>
      </c>
      <c r="F156" s="147">
        <v>7.131</v>
      </c>
      <c r="G156" s="147">
        <v>7.658</v>
      </c>
      <c r="H156" s="147">
        <v>8.196</v>
      </c>
      <c r="I156" s="147">
        <v>8.72</v>
      </c>
      <c r="K156" s="332" t="s">
        <v>827</v>
      </c>
      <c r="V156" s="57"/>
      <c r="W156" s="57"/>
      <c r="X156" s="57"/>
      <c r="Y156" s="57"/>
      <c r="Z156" s="57"/>
    </row>
    <row r="157" spans="1:26" ht="12.75">
      <c r="A157" s="93" t="s">
        <v>724</v>
      </c>
      <c r="B157" s="93"/>
      <c r="C157" s="248">
        <v>1.176</v>
      </c>
      <c r="D157" s="248">
        <v>1.201</v>
      </c>
      <c r="E157" s="147">
        <v>1.366</v>
      </c>
      <c r="F157" s="147">
        <v>1.478</v>
      </c>
      <c r="G157" s="147">
        <v>1.551</v>
      </c>
      <c r="H157" s="147">
        <v>1.585</v>
      </c>
      <c r="I157" s="147">
        <v>1.616</v>
      </c>
      <c r="K157" s="316" t="str">
        <f t="shared" si="20"/>
        <v>√</v>
      </c>
      <c r="V157" s="57"/>
      <c r="W157" s="57"/>
      <c r="X157" s="57"/>
      <c r="Y157" s="57"/>
      <c r="Z157" s="57"/>
    </row>
    <row r="158" spans="1:26" ht="12.75">
      <c r="A158" s="93" t="s">
        <v>640</v>
      </c>
      <c r="B158" s="93"/>
      <c r="C158" s="248">
        <v>0.488</v>
      </c>
      <c r="D158" s="248">
        <v>0.487</v>
      </c>
      <c r="E158" s="147">
        <v>0.539</v>
      </c>
      <c r="F158" s="147">
        <v>0.573</v>
      </c>
      <c r="G158" s="147">
        <v>0.601</v>
      </c>
      <c r="H158" s="147">
        <v>0.614</v>
      </c>
      <c r="I158" s="147">
        <v>0.626</v>
      </c>
      <c r="K158" s="316" t="str">
        <f t="shared" si="20"/>
        <v>√</v>
      </c>
      <c r="V158" s="57"/>
      <c r="W158" s="57"/>
      <c r="X158" s="57"/>
      <c r="Y158" s="57"/>
      <c r="Z158" s="57"/>
    </row>
    <row r="159" spans="1:26" ht="12.75">
      <c r="A159" s="93" t="s">
        <v>361</v>
      </c>
      <c r="B159" s="93"/>
      <c r="C159" s="248">
        <v>0.555</v>
      </c>
      <c r="D159" s="248">
        <v>0.629</v>
      </c>
      <c r="E159" s="147">
        <v>0.717</v>
      </c>
      <c r="F159" s="147">
        <v>0.794</v>
      </c>
      <c r="G159" s="147">
        <v>0.869</v>
      </c>
      <c r="H159" s="147">
        <v>0.944</v>
      </c>
      <c r="I159" s="147">
        <v>1.013</v>
      </c>
      <c r="K159" s="316" t="str">
        <f t="shared" si="20"/>
        <v>√</v>
      </c>
      <c r="V159" s="57"/>
      <c r="W159" s="57"/>
      <c r="X159" s="57"/>
      <c r="Y159" s="57"/>
      <c r="Z159" s="57"/>
    </row>
    <row r="160" spans="1:26" ht="12.75">
      <c r="A160" s="93" t="s">
        <v>362</v>
      </c>
      <c r="B160" s="93"/>
      <c r="C160" s="248">
        <v>0.36</v>
      </c>
      <c r="D160" s="248">
        <v>0.407</v>
      </c>
      <c r="E160" s="147">
        <v>0.48</v>
      </c>
      <c r="F160" s="147">
        <v>0.516</v>
      </c>
      <c r="G160" s="147">
        <v>0.557</v>
      </c>
      <c r="H160" s="147">
        <v>0.597</v>
      </c>
      <c r="I160" s="147">
        <v>0.635</v>
      </c>
      <c r="K160" s="316" t="str">
        <f t="shared" si="20"/>
        <v>√</v>
      </c>
      <c r="V160" s="57"/>
      <c r="W160" s="57"/>
      <c r="X160" s="57"/>
      <c r="Y160" s="57"/>
      <c r="Z160" s="57"/>
    </row>
    <row r="161" spans="1:26" ht="12.75">
      <c r="A161" s="93" t="s">
        <v>363</v>
      </c>
      <c r="B161" s="93"/>
      <c r="C161" s="248">
        <v>0.151</v>
      </c>
      <c r="D161" s="248">
        <v>-0.231</v>
      </c>
      <c r="E161" s="147">
        <v>0.21</v>
      </c>
      <c r="F161" s="147">
        <v>0.11</v>
      </c>
      <c r="G161" s="147">
        <v>0.11</v>
      </c>
      <c r="H161" s="147">
        <v>0.11</v>
      </c>
      <c r="I161" s="147">
        <v>0.11</v>
      </c>
      <c r="K161" s="316" t="str">
        <f t="shared" si="20"/>
        <v>√</v>
      </c>
      <c r="V161" s="57"/>
      <c r="W161" s="57"/>
      <c r="X161" s="57"/>
      <c r="Y161" s="57"/>
      <c r="Z161" s="57"/>
    </row>
    <row r="162" spans="1:26" ht="12.75">
      <c r="A162" s="93" t="s">
        <v>364</v>
      </c>
      <c r="B162" s="93"/>
      <c r="C162" s="248">
        <v>0.1</v>
      </c>
      <c r="D162" s="248">
        <v>0.007</v>
      </c>
      <c r="E162" s="147">
        <v>0.01</v>
      </c>
      <c r="F162" s="147">
        <v>0.01</v>
      </c>
      <c r="G162" s="147">
        <v>0.01</v>
      </c>
      <c r="H162" s="147">
        <v>0.01</v>
      </c>
      <c r="I162" s="147">
        <v>0.01</v>
      </c>
      <c r="K162" s="316" t="str">
        <f t="shared" si="20"/>
        <v>√</v>
      </c>
      <c r="V162" s="57"/>
      <c r="W162" s="57"/>
      <c r="X162" s="57"/>
      <c r="Y162" s="57"/>
      <c r="Z162" s="57"/>
    </row>
    <row r="163" spans="1:26" ht="12.75">
      <c r="A163" s="72" t="s">
        <v>725</v>
      </c>
      <c r="B163" s="71"/>
      <c r="C163" s="296">
        <v>6.011</v>
      </c>
      <c r="D163" s="296">
        <v>6.741</v>
      </c>
      <c r="E163" s="147">
        <v>7.131</v>
      </c>
      <c r="F163" s="297">
        <v>7.658</v>
      </c>
      <c r="G163" s="297">
        <v>8.196</v>
      </c>
      <c r="H163" s="297">
        <v>8.72</v>
      </c>
      <c r="I163" s="297">
        <v>9.232</v>
      </c>
      <c r="K163" s="332" t="s">
        <v>826</v>
      </c>
      <c r="V163" s="57"/>
      <c r="W163" s="57"/>
      <c r="X163" s="57"/>
      <c r="Y163" s="57"/>
      <c r="Z163" s="57"/>
    </row>
    <row r="164" spans="1:11" ht="13.5">
      <c r="A164" s="328" t="s">
        <v>726</v>
      </c>
      <c r="B164" s="235"/>
      <c r="C164" s="262" t="str">
        <f>IF(ROUND(C$163-(SUM(C$156:C$157,C$160,C$162)-SUM(C$158:C$159,C$161)),3)=0,"OK","ERROR")</f>
        <v>OK</v>
      </c>
      <c r="D164" s="262" t="str">
        <f aca="true" t="shared" si="21" ref="D164:I164">IF(ROUND(D$163-(SUM(D$156:D$157,D$160,D$162)-SUM(D$158:D$159,D$161)),3)=0,"OK","ERROR")</f>
        <v>OK</v>
      </c>
      <c r="E164" s="149" t="str">
        <f t="shared" si="21"/>
        <v>OK</v>
      </c>
      <c r="F164" s="149" t="str">
        <f t="shared" si="21"/>
        <v>OK</v>
      </c>
      <c r="G164" s="149" t="str">
        <f t="shared" si="21"/>
        <v>OK</v>
      </c>
      <c r="H164" s="149" t="str">
        <f t="shared" si="21"/>
        <v>OK</v>
      </c>
      <c r="I164" s="149" t="str">
        <f t="shared" si="21"/>
        <v>OK</v>
      </c>
      <c r="K164" s="316"/>
    </row>
    <row r="165" spans="1:11" ht="15.75">
      <c r="A165" s="73" t="s">
        <v>727</v>
      </c>
      <c r="B165" s="235"/>
      <c r="C165" s="252"/>
      <c r="D165" s="252"/>
      <c r="E165" s="463"/>
      <c r="F165" s="463"/>
      <c r="G165" s="463"/>
      <c r="H165" s="463"/>
      <c r="I165" s="463"/>
      <c r="K165" s="316"/>
    </row>
    <row r="166" spans="1:26" ht="12.75">
      <c r="A166" s="93" t="s">
        <v>641</v>
      </c>
      <c r="B166" s="235"/>
      <c r="C166" s="248">
        <v>0.436</v>
      </c>
      <c r="D166" s="248">
        <v>0.385</v>
      </c>
      <c r="E166" s="147">
        <v>0.399</v>
      </c>
      <c r="F166" s="147">
        <v>0.397</v>
      </c>
      <c r="G166" s="147">
        <v>0.424</v>
      </c>
      <c r="H166" s="147">
        <v>0.458</v>
      </c>
      <c r="I166" s="147">
        <v>0.498</v>
      </c>
      <c r="K166" s="316" t="str">
        <f aca="true" t="shared" si="22" ref="K166:K172">$K$3</f>
        <v>√</v>
      </c>
      <c r="V166" s="57"/>
      <c r="W166" s="57"/>
      <c r="X166" s="57"/>
      <c r="Y166" s="57"/>
      <c r="Z166" s="57"/>
    </row>
    <row r="167" spans="1:26" ht="12.75">
      <c r="A167" s="93" t="s">
        <v>642</v>
      </c>
      <c r="B167" s="235"/>
      <c r="C167" s="248">
        <v>-0.052</v>
      </c>
      <c r="D167" s="248">
        <v>0.034</v>
      </c>
      <c r="E167" s="147">
        <v>-0.84</v>
      </c>
      <c r="F167" s="147">
        <v>0.461</v>
      </c>
      <c r="G167" s="147">
        <v>0.5</v>
      </c>
      <c r="H167" s="147">
        <v>0.37</v>
      </c>
      <c r="I167" s="147">
        <v>0.159</v>
      </c>
      <c r="K167" s="316" t="str">
        <f t="shared" si="22"/>
        <v>√</v>
      </c>
      <c r="V167" s="57"/>
      <c r="W167" s="57"/>
      <c r="X167" s="57"/>
      <c r="Y167" s="57"/>
      <c r="Z167" s="57"/>
    </row>
    <row r="168" spans="1:26" ht="12.75">
      <c r="A168" s="93" t="s">
        <v>643</v>
      </c>
      <c r="B168" s="235"/>
      <c r="C168" s="248">
        <v>0.707</v>
      </c>
      <c r="D168" s="248">
        <v>0.237</v>
      </c>
      <c r="E168" s="147">
        <v>-0.083</v>
      </c>
      <c r="F168" s="147">
        <v>0</v>
      </c>
      <c r="G168" s="147">
        <v>0</v>
      </c>
      <c r="H168" s="147">
        <v>0.165</v>
      </c>
      <c r="I168" s="147">
        <v>0.4</v>
      </c>
      <c r="K168" s="316" t="str">
        <f t="shared" si="22"/>
        <v>√</v>
      </c>
      <c r="V168" s="57"/>
      <c r="W168" s="57"/>
      <c r="X168" s="57"/>
      <c r="Y168" s="57"/>
      <c r="Z168" s="57"/>
    </row>
    <row r="169" spans="1:26" ht="12.75">
      <c r="A169" s="93" t="s">
        <v>644</v>
      </c>
      <c r="B169" s="235"/>
      <c r="C169" s="248">
        <v>1.313</v>
      </c>
      <c r="D169" s="248">
        <v>-0.995</v>
      </c>
      <c r="E169" s="147">
        <v>-4.582</v>
      </c>
      <c r="F169" s="147">
        <v>1.129</v>
      </c>
      <c r="G169" s="147">
        <v>1.277</v>
      </c>
      <c r="H169" s="147">
        <v>1.41</v>
      </c>
      <c r="I169" s="147">
        <v>1.541</v>
      </c>
      <c r="K169" s="316" t="str">
        <f t="shared" si="22"/>
        <v>√</v>
      </c>
      <c r="V169" s="57"/>
      <c r="W169" s="57"/>
      <c r="X169" s="57"/>
      <c r="Y169" s="57"/>
      <c r="Z169" s="57"/>
    </row>
    <row r="170" spans="1:26" ht="12.75">
      <c r="A170" s="323" t="s">
        <v>371</v>
      </c>
      <c r="B170" s="235"/>
      <c r="C170" s="248">
        <v>9.855</v>
      </c>
      <c r="D170" s="248">
        <v>12.973</v>
      </c>
      <c r="E170" s="147">
        <v>14.212</v>
      </c>
      <c r="F170" s="147">
        <v>13.275</v>
      </c>
      <c r="G170" s="147">
        <v>14.59</v>
      </c>
      <c r="H170" s="147">
        <v>15.791</v>
      </c>
      <c r="I170" s="147">
        <v>17.124</v>
      </c>
      <c r="K170" s="332" t="s">
        <v>828</v>
      </c>
      <c r="V170" s="57"/>
      <c r="W170" s="57"/>
      <c r="X170" s="57"/>
      <c r="Y170" s="57"/>
      <c r="Z170" s="57"/>
    </row>
    <row r="171" spans="1:26" ht="12.75">
      <c r="A171" s="93" t="s">
        <v>372</v>
      </c>
      <c r="B171" s="235"/>
      <c r="C171" s="248">
        <v>2.0490000000000004</v>
      </c>
      <c r="D171" s="248">
        <v>2.104</v>
      </c>
      <c r="E171" s="147">
        <v>2.242</v>
      </c>
      <c r="F171" s="147">
        <v>0.25</v>
      </c>
      <c r="G171" s="147">
        <v>0</v>
      </c>
      <c r="H171" s="147">
        <v>0</v>
      </c>
      <c r="I171" s="147">
        <v>0</v>
      </c>
      <c r="K171" s="316" t="str">
        <f t="shared" si="22"/>
        <v>√</v>
      </c>
      <c r="V171" s="57"/>
      <c r="W171" s="57"/>
      <c r="X171" s="57"/>
      <c r="Y171" s="57"/>
      <c r="Z171" s="57"/>
    </row>
    <row r="172" spans="1:26" ht="12.75">
      <c r="A172" s="93" t="s">
        <v>645</v>
      </c>
      <c r="B172" s="235"/>
      <c r="C172" s="248">
        <v>-0.025</v>
      </c>
      <c r="D172" s="248">
        <v>0.016</v>
      </c>
      <c r="E172" s="147">
        <v>0.081</v>
      </c>
      <c r="F172" s="147">
        <v>0</v>
      </c>
      <c r="G172" s="147">
        <v>0</v>
      </c>
      <c r="H172" s="147">
        <v>0</v>
      </c>
      <c r="I172" s="147">
        <v>0</v>
      </c>
      <c r="K172" s="316" t="str">
        <f t="shared" si="22"/>
        <v>√</v>
      </c>
      <c r="V172" s="57"/>
      <c r="W172" s="57"/>
      <c r="X172" s="57"/>
      <c r="Y172" s="57"/>
      <c r="Z172" s="57"/>
    </row>
    <row r="173" spans="1:26" ht="12.75">
      <c r="A173" s="72" t="s">
        <v>728</v>
      </c>
      <c r="B173" s="71"/>
      <c r="C173" s="296">
        <v>12.973</v>
      </c>
      <c r="D173" s="296">
        <v>14.212</v>
      </c>
      <c r="E173" s="297">
        <v>13.275</v>
      </c>
      <c r="F173" s="297">
        <v>14.59</v>
      </c>
      <c r="G173" s="297">
        <v>15.791</v>
      </c>
      <c r="H173" s="297">
        <v>17.124</v>
      </c>
      <c r="I173" s="297">
        <v>18.604</v>
      </c>
      <c r="K173" s="332" t="str">
        <f>$K$163</f>
        <v>Only used as check on next row</v>
      </c>
      <c r="V173" s="57"/>
      <c r="W173" s="57"/>
      <c r="X173" s="57"/>
      <c r="Y173" s="57"/>
      <c r="Z173" s="57"/>
    </row>
    <row r="174" spans="1:11" ht="13.5">
      <c r="A174" s="328" t="s">
        <v>729</v>
      </c>
      <c r="B174" s="235"/>
      <c r="C174" s="262" t="str">
        <f>IF(ROUND(C$173-(SUM(C$170,C$166,C$169,C$171,C$172)-SUM(C$167,C$168)),3)=0,"OK","ERROR")</f>
        <v>OK</v>
      </c>
      <c r="D174" s="262" t="str">
        <f aca="true" t="shared" si="23" ref="D174:I174">IF(ROUND(D$173-(SUM(D$170,D$166,D$169,D$171,D$172)-SUM(D$167,D$168)),3)=0,"OK","ERROR")</f>
        <v>OK</v>
      </c>
      <c r="E174" s="149" t="str">
        <f t="shared" si="23"/>
        <v>OK</v>
      </c>
      <c r="F174" s="149" t="str">
        <f t="shared" si="23"/>
        <v>OK</v>
      </c>
      <c r="G174" s="149" t="str">
        <f t="shared" si="23"/>
        <v>OK</v>
      </c>
      <c r="H174" s="149" t="str">
        <f t="shared" si="23"/>
        <v>OK</v>
      </c>
      <c r="I174" s="149" t="str">
        <f t="shared" si="23"/>
        <v>OK</v>
      </c>
      <c r="K174" s="316"/>
    </row>
    <row r="175" spans="1:26" ht="12.75">
      <c r="A175" s="323" t="s">
        <v>730</v>
      </c>
      <c r="B175" s="235"/>
      <c r="C175" s="248">
        <v>0.119</v>
      </c>
      <c r="D175" s="248">
        <v>0.097</v>
      </c>
      <c r="E175" s="147">
        <v>0.103</v>
      </c>
      <c r="F175" s="147">
        <v>0.111</v>
      </c>
      <c r="G175" s="147">
        <v>0.115</v>
      </c>
      <c r="H175" s="147">
        <v>0.125</v>
      </c>
      <c r="I175" s="147">
        <v>0.136</v>
      </c>
      <c r="K175" s="316" t="str">
        <f>$K$3</f>
        <v>√</v>
      </c>
      <c r="V175" s="57"/>
      <c r="W175" s="57"/>
      <c r="X175" s="57"/>
      <c r="Y175" s="57"/>
      <c r="Z175" s="57"/>
    </row>
    <row r="176" spans="1:11" ht="15.75">
      <c r="A176" s="73" t="s">
        <v>768</v>
      </c>
      <c r="B176" s="235"/>
      <c r="C176" s="252"/>
      <c r="D176" s="252"/>
      <c r="E176" s="463"/>
      <c r="F176" s="463"/>
      <c r="G176" s="463"/>
      <c r="H176" s="463"/>
      <c r="I176" s="463"/>
      <c r="K176" s="316"/>
    </row>
    <row r="177" spans="1:26" ht="12.75">
      <c r="A177" s="323" t="s">
        <v>769</v>
      </c>
      <c r="B177" s="235"/>
      <c r="C177" s="337">
        <v>17.328</v>
      </c>
      <c r="D177" s="337">
        <v>20.374</v>
      </c>
      <c r="E177" s="147">
        <v>23.958</v>
      </c>
      <c r="F177" s="147">
        <v>25.171</v>
      </c>
      <c r="G177" s="147">
        <v>26.516</v>
      </c>
      <c r="H177" s="147">
        <v>28.071</v>
      </c>
      <c r="I177" s="147">
        <v>29.815</v>
      </c>
      <c r="K177" s="332" t="s">
        <v>829</v>
      </c>
      <c r="V177" s="57"/>
      <c r="W177" s="57"/>
      <c r="X177" s="57"/>
      <c r="Y177" s="57"/>
      <c r="Z177" s="57"/>
    </row>
    <row r="178" spans="1:26" ht="12.75">
      <c r="A178" s="323" t="s">
        <v>770</v>
      </c>
      <c r="B178" s="235"/>
      <c r="C178" s="248">
        <v>0.068</v>
      </c>
      <c r="D178" s="248">
        <v>0.097</v>
      </c>
      <c r="E178" s="147">
        <v>0.091</v>
      </c>
      <c r="F178" s="147">
        <v>0.091</v>
      </c>
      <c r="G178" s="147">
        <v>0.091</v>
      </c>
      <c r="H178" s="147">
        <v>0.091</v>
      </c>
      <c r="I178" s="147">
        <v>0.091</v>
      </c>
      <c r="K178" s="332" t="str">
        <f>$K$177</f>
        <v>Used in 'Insurance liabilities (dominated by ACC)' total</v>
      </c>
      <c r="V178" s="57"/>
      <c r="W178" s="57"/>
      <c r="X178" s="57"/>
      <c r="Y178" s="57"/>
      <c r="Z178" s="57"/>
    </row>
    <row r="179" spans="1:26" ht="12.75">
      <c r="A179" s="323" t="s">
        <v>771</v>
      </c>
      <c r="B179" s="235"/>
      <c r="C179" s="248">
        <v>0.022</v>
      </c>
      <c r="D179" s="248">
        <v>0.013</v>
      </c>
      <c r="E179" s="147">
        <v>0.087</v>
      </c>
      <c r="F179" s="147">
        <v>0.083</v>
      </c>
      <c r="G179" s="147">
        <v>0.055</v>
      </c>
      <c r="H179" s="147">
        <v>0.049</v>
      </c>
      <c r="I179" s="147">
        <v>0.044</v>
      </c>
      <c r="K179" s="332" t="s">
        <v>830</v>
      </c>
      <c r="V179" s="57"/>
      <c r="W179" s="57"/>
      <c r="X179" s="57"/>
      <c r="Y179" s="57"/>
      <c r="Z179" s="57"/>
    </row>
    <row r="180" spans="1:11" ht="13.5">
      <c r="A180" s="328" t="s">
        <v>772</v>
      </c>
      <c r="B180" s="235"/>
      <c r="C180" s="262" t="str">
        <f aca="true" t="shared" si="24" ref="C180:I180">IF(ROUND(C$72-(SUM(C$177:C$179)),3)=0,"OK","ERROR")</f>
        <v>OK</v>
      </c>
      <c r="D180" s="262" t="str">
        <f t="shared" si="24"/>
        <v>OK</v>
      </c>
      <c r="E180" s="149" t="str">
        <f t="shared" si="24"/>
        <v>OK</v>
      </c>
      <c r="F180" s="149" t="str">
        <f t="shared" si="24"/>
        <v>OK</v>
      </c>
      <c r="G180" s="149" t="str">
        <f t="shared" si="24"/>
        <v>OK</v>
      </c>
      <c r="H180" s="149" t="str">
        <f t="shared" si="24"/>
        <v>OK</v>
      </c>
      <c r="I180" s="149" t="str">
        <f t="shared" si="24"/>
        <v>OK</v>
      </c>
      <c r="K180" s="316"/>
    </row>
    <row r="181" spans="1:11" ht="15.75">
      <c r="A181" s="73" t="s">
        <v>646</v>
      </c>
      <c r="B181" s="235"/>
      <c r="C181" s="252"/>
      <c r="D181" s="252"/>
      <c r="E181" s="463"/>
      <c r="F181" s="463"/>
      <c r="G181" s="463"/>
      <c r="H181" s="463"/>
      <c r="I181" s="463"/>
      <c r="K181" s="316"/>
    </row>
    <row r="182" spans="1:11" ht="12.75">
      <c r="A182" s="323" t="s">
        <v>116</v>
      </c>
      <c r="B182" s="235"/>
      <c r="C182" s="248">
        <v>0.704</v>
      </c>
      <c r="D182" s="248">
        <v>0.562</v>
      </c>
      <c r="E182" s="147">
        <v>0</v>
      </c>
      <c r="F182" s="147">
        <v>0</v>
      </c>
      <c r="G182" s="147">
        <v>0</v>
      </c>
      <c r="H182" s="147">
        <v>0</v>
      </c>
      <c r="I182" s="147">
        <v>0</v>
      </c>
      <c r="K182" s="316" t="str">
        <f>$K$3</f>
        <v>√</v>
      </c>
    </row>
    <row r="183" spans="1:11" ht="12.75">
      <c r="A183" s="323" t="s">
        <v>747</v>
      </c>
      <c r="B183" s="235"/>
      <c r="C183" s="248">
        <v>0</v>
      </c>
      <c r="D183" s="248">
        <v>0</v>
      </c>
      <c r="E183" s="147">
        <v>0.023</v>
      </c>
      <c r="F183" s="147">
        <v>0.173</v>
      </c>
      <c r="G183" s="147">
        <v>0.197</v>
      </c>
      <c r="H183" s="147">
        <v>-0.069</v>
      </c>
      <c r="I183" s="147">
        <v>0.238</v>
      </c>
      <c r="K183" s="316" t="str">
        <f>$K$3</f>
        <v>√</v>
      </c>
    </row>
    <row r="184" spans="1:11" ht="12.75">
      <c r="A184" s="323" t="s">
        <v>748</v>
      </c>
      <c r="B184" s="235"/>
      <c r="C184" s="248">
        <v>0</v>
      </c>
      <c r="D184" s="248">
        <v>0</v>
      </c>
      <c r="E184" s="147">
        <v>0</v>
      </c>
      <c r="F184" s="147">
        <v>0.321</v>
      </c>
      <c r="G184" s="147">
        <v>0.72</v>
      </c>
      <c r="H184" s="147">
        <v>0.902</v>
      </c>
      <c r="I184" s="147">
        <v>1.377</v>
      </c>
      <c r="K184" s="316" t="str">
        <f>$K$3</f>
        <v>√</v>
      </c>
    </row>
    <row r="185" spans="1:11" ht="12.75">
      <c r="A185" s="323" t="s">
        <v>749</v>
      </c>
      <c r="B185" s="235"/>
      <c r="C185" s="248">
        <v>0</v>
      </c>
      <c r="D185" s="248">
        <v>0</v>
      </c>
      <c r="E185" s="147">
        <v>0.023</v>
      </c>
      <c r="F185" s="147">
        <v>0.471</v>
      </c>
      <c r="G185" s="147">
        <v>0.744</v>
      </c>
      <c r="H185" s="147">
        <v>0.636</v>
      </c>
      <c r="I185" s="147">
        <v>1.684</v>
      </c>
      <c r="K185" s="316" t="str">
        <f>$K$3</f>
        <v>√</v>
      </c>
    </row>
    <row r="186" spans="1:11" ht="13.5">
      <c r="A186" s="328" t="s">
        <v>832</v>
      </c>
      <c r="B186" s="235"/>
      <c r="C186" s="262" t="str">
        <f>IF(ROUND(C$183-(SUM($C$185:C$185)-SUM($C$184:C$184)),3)=0,"OK","ERROR")</f>
        <v>OK</v>
      </c>
      <c r="D186" s="262" t="str">
        <f>IF(ROUND(D$183-(SUM($C$185:D$185)-SUM($C$184:D$184)),3)=0,"OK","ERROR")</f>
        <v>OK</v>
      </c>
      <c r="E186" s="149" t="str">
        <f>IF(ROUND(E$183-(SUM($C$185:E$185)-SUM($C$184:E$184)),3)=0,"OK","ERROR")</f>
        <v>OK</v>
      </c>
      <c r="F186" s="149" t="str">
        <f>IF(ROUND(F$183-(SUM($C$185:F$185)-SUM($C$184:F$184)),3)=0,"OK","ERROR")</f>
        <v>OK</v>
      </c>
      <c r="G186" s="149" t="str">
        <f>IF(ROUND(G$183-(SUM($C$185:G$185)-SUM($C$184:G$184)),3)=0,"OK","ERROR")</f>
        <v>OK</v>
      </c>
      <c r="H186" s="149" t="str">
        <f>IF(ROUND(H$183-(SUM($C$185:H$185)-SUM($C$184:H$184)),3)=0,"OK","ERROR")</f>
        <v>OK</v>
      </c>
      <c r="I186" s="149" t="str">
        <f>IF(ROUND(I$183-(SUM($C$185:I$185)-SUM($C$184:I$184)),3)=0,"OK","ERROR")</f>
        <v>OK</v>
      </c>
      <c r="K186" s="316"/>
    </row>
    <row r="187" spans="1:16" ht="15.75">
      <c r="A187" s="73" t="s">
        <v>715</v>
      </c>
      <c r="B187" s="71"/>
      <c r="C187" s="254"/>
      <c r="D187" s="254"/>
      <c r="E187" s="324"/>
      <c r="F187" s="324"/>
      <c r="G187" s="324"/>
      <c r="H187" s="324"/>
      <c r="I187" s="324"/>
      <c r="M187" s="336"/>
      <c r="N187" s="336"/>
      <c r="O187" s="336"/>
      <c r="P187" s="336"/>
    </row>
    <row r="188" spans="1:16" ht="12.75">
      <c r="A188" s="93" t="s">
        <v>349</v>
      </c>
      <c r="B188" s="71"/>
      <c r="C188" s="248">
        <v>26.291</v>
      </c>
      <c r="D188" s="248">
        <v>32.108</v>
      </c>
      <c r="E188" s="147">
        <v>45.189</v>
      </c>
      <c r="F188" s="147">
        <v>41.202</v>
      </c>
      <c r="G188" s="147">
        <v>41.021</v>
      </c>
      <c r="H188" s="147">
        <v>37.852</v>
      </c>
      <c r="I188" s="147">
        <v>35.685</v>
      </c>
      <c r="K188" s="338" t="s">
        <v>833</v>
      </c>
      <c r="L188" s="57"/>
      <c r="M188" s="57"/>
      <c r="N188" s="57"/>
      <c r="O188" s="57"/>
      <c r="P188" s="57"/>
    </row>
    <row r="189" spans="1:11" ht="12.75">
      <c r="A189" s="93" t="s">
        <v>350</v>
      </c>
      <c r="B189" s="71"/>
      <c r="C189" s="248">
        <v>7.999</v>
      </c>
      <c r="D189" s="248">
        <v>7.34</v>
      </c>
      <c r="E189" s="147">
        <v>5.682</v>
      </c>
      <c r="F189" s="147">
        <v>6.361</v>
      </c>
      <c r="G189" s="147">
        <v>7.092</v>
      </c>
      <c r="H189" s="147">
        <v>8.024</v>
      </c>
      <c r="I189" s="147">
        <v>9.406</v>
      </c>
      <c r="K189" s="57" t="str">
        <f>$K$188</f>
        <v>Only used as check on 'Other financial assets' in 'Forecast Statement of Segments'</v>
      </c>
    </row>
    <row r="190" spans="1:11" ht="12.75">
      <c r="A190" s="93" t="s">
        <v>399</v>
      </c>
      <c r="B190" s="71"/>
      <c r="C190" s="248">
        <v>9.087000000000002</v>
      </c>
      <c r="D190" s="248">
        <v>10.278</v>
      </c>
      <c r="E190" s="147">
        <v>11.175</v>
      </c>
      <c r="F190" s="147">
        <v>11.972</v>
      </c>
      <c r="G190" s="147">
        <v>12.569</v>
      </c>
      <c r="H190" s="147">
        <v>13.067</v>
      </c>
      <c r="I190" s="147">
        <v>13.517</v>
      </c>
      <c r="K190" t="str">
        <f>$K$108</f>
        <v>Used in calculation of 'Core Crown marketable securities, derivatives in gain and share investments'</v>
      </c>
    </row>
    <row r="191" spans="1:9" ht="13.5">
      <c r="A191" s="328" t="s">
        <v>716</v>
      </c>
      <c r="B191" s="93"/>
      <c r="C191" s="325" t="str">
        <f aca="true" t="shared" si="25" ref="C191:I191">IF(ROUND(C$108-SUM(C$188:C$190),3)=0,"OK","ERROR")</f>
        <v>OK</v>
      </c>
      <c r="D191" s="325" t="str">
        <f t="shared" si="25"/>
        <v>OK</v>
      </c>
      <c r="E191" s="326" t="str">
        <f t="shared" si="25"/>
        <v>OK</v>
      </c>
      <c r="F191" s="326" t="str">
        <f t="shared" si="25"/>
        <v>OK</v>
      </c>
      <c r="G191" s="326" t="str">
        <f t="shared" si="25"/>
        <v>OK</v>
      </c>
      <c r="H191" s="326" t="str">
        <f t="shared" si="25"/>
        <v>OK</v>
      </c>
      <c r="I191" s="326" t="str">
        <f t="shared" si="25"/>
        <v>OK</v>
      </c>
    </row>
    <row r="192" spans="1:9" ht="12.75">
      <c r="A192" s="71"/>
      <c r="B192" s="159"/>
      <c r="C192" s="159"/>
      <c r="D192"/>
      <c r="E192"/>
      <c r="F192"/>
      <c r="G192"/>
      <c r="H192"/>
      <c r="I192"/>
    </row>
    <row r="193" spans="1:24" ht="15.75">
      <c r="A193" s="70" t="s">
        <v>708</v>
      </c>
      <c r="B193" s="70"/>
      <c r="C193"/>
      <c r="D193"/>
      <c r="E193"/>
      <c r="F193"/>
      <c r="G193"/>
      <c r="H193"/>
      <c r="I193"/>
      <c r="L193" s="474"/>
      <c r="M193" s="475"/>
      <c r="N193" s="475"/>
      <c r="O193" s="475"/>
      <c r="P193" s="475"/>
      <c r="Q193" s="475"/>
      <c r="R193" s="474"/>
      <c r="S193" s="475"/>
      <c r="T193" s="475"/>
      <c r="U193" s="475"/>
      <c r="V193" s="475"/>
      <c r="W193" s="475"/>
      <c r="X193" s="475"/>
    </row>
    <row r="194" spans="1:24" ht="12.75">
      <c r="A194" s="93" t="s">
        <v>157</v>
      </c>
      <c r="B194" s="93"/>
      <c r="C194" s="263">
        <v>645.82</v>
      </c>
      <c r="D194" s="263">
        <v>664.02</v>
      </c>
      <c r="E194" s="151">
        <v>723.19</v>
      </c>
      <c r="F194" s="151">
        <v>739.35</v>
      </c>
      <c r="G194" s="151">
        <v>753.19</v>
      </c>
      <c r="H194" s="151">
        <v>759.85</v>
      </c>
      <c r="I194" s="151">
        <v>767.71</v>
      </c>
      <c r="K194" s="316" t="s">
        <v>651</v>
      </c>
      <c r="L194" s="476"/>
      <c r="M194" s="476"/>
      <c r="N194" s="476"/>
      <c r="O194" s="476"/>
      <c r="P194" s="476"/>
      <c r="Q194" s="475"/>
      <c r="R194" s="476"/>
      <c r="S194" s="476"/>
      <c r="T194" s="476"/>
      <c r="U194" s="476"/>
      <c r="V194" s="476"/>
      <c r="W194" s="475"/>
      <c r="X194" s="475"/>
    </row>
    <row r="195" spans="1:24" ht="12.75">
      <c r="A195" s="93" t="s">
        <v>159</v>
      </c>
      <c r="B195" s="93"/>
      <c r="C195" s="263">
        <v>213.12</v>
      </c>
      <c r="D195" s="263">
        <v>219.9</v>
      </c>
      <c r="E195" s="151">
        <v>239.19</v>
      </c>
      <c r="F195" s="151">
        <v>243.99</v>
      </c>
      <c r="G195" s="151">
        <v>249.11</v>
      </c>
      <c r="H195" s="151">
        <v>252.1</v>
      </c>
      <c r="I195" s="151">
        <v>255.63</v>
      </c>
      <c r="K195" s="316" t="s">
        <v>651</v>
      </c>
      <c r="L195" s="476"/>
      <c r="M195" s="476"/>
      <c r="N195" s="476"/>
      <c r="O195" s="476"/>
      <c r="P195" s="476"/>
      <c r="Q195" s="475"/>
      <c r="R195" s="476"/>
      <c r="S195" s="476"/>
      <c r="T195" s="476"/>
      <c r="U195" s="476"/>
      <c r="V195" s="476"/>
      <c r="W195" s="475"/>
      <c r="X195" s="475"/>
    </row>
    <row r="196" spans="1:24" ht="12.75">
      <c r="A196" s="93" t="s">
        <v>389</v>
      </c>
      <c r="B196" s="93"/>
      <c r="C196" s="264">
        <v>1.268</v>
      </c>
      <c r="D196" s="264">
        <v>1.382</v>
      </c>
      <c r="E196" s="152">
        <v>1.289</v>
      </c>
      <c r="F196" s="152">
        <v>1.325</v>
      </c>
      <c r="G196" s="152">
        <v>1.405</v>
      </c>
      <c r="H196" s="152">
        <v>1.501</v>
      </c>
      <c r="I196" s="152">
        <v>1.587</v>
      </c>
      <c r="K196" s="316" t="s">
        <v>651</v>
      </c>
      <c r="L196" s="477"/>
      <c r="M196" s="477"/>
      <c r="N196" s="477"/>
      <c r="O196" s="477"/>
      <c r="P196" s="477"/>
      <c r="Q196" s="475"/>
      <c r="R196" s="477"/>
      <c r="S196" s="477"/>
      <c r="T196" s="477"/>
      <c r="U196" s="477"/>
      <c r="V196" s="477"/>
      <c r="W196" s="475"/>
      <c r="X196" s="475"/>
    </row>
    <row r="197" spans="1:24" ht="12.75">
      <c r="A197" s="71"/>
      <c r="B197" s="71"/>
      <c r="C197" s="115"/>
      <c r="D197" s="115"/>
      <c r="E197" s="115"/>
      <c r="F197" s="115"/>
      <c r="G197" s="115"/>
      <c r="H197" s="115"/>
      <c r="I197" s="115"/>
      <c r="L197" s="478"/>
      <c r="M197" s="478"/>
      <c r="N197" s="478"/>
      <c r="O197" s="478"/>
      <c r="P197" s="478"/>
      <c r="Q197" s="475"/>
      <c r="R197" s="478"/>
      <c r="S197" s="478"/>
      <c r="T197" s="478"/>
      <c r="U197" s="478"/>
      <c r="V197" s="478"/>
      <c r="W197" s="475"/>
      <c r="X197" s="475"/>
    </row>
    <row r="198" spans="1:24" ht="15.75">
      <c r="A198" s="70" t="s">
        <v>286</v>
      </c>
      <c r="B198" s="70"/>
      <c r="C198" s="160"/>
      <c r="D198" s="160"/>
      <c r="E198" s="160"/>
      <c r="F198" s="160"/>
      <c r="G198" s="160"/>
      <c r="H198" s="160"/>
      <c r="I198" s="160"/>
      <c r="L198" s="479"/>
      <c r="M198" s="479"/>
      <c r="N198" s="479"/>
      <c r="O198" s="479"/>
      <c r="P198" s="479"/>
      <c r="Q198" s="475"/>
      <c r="R198" s="479"/>
      <c r="S198" s="479"/>
      <c r="T198" s="479"/>
      <c r="U198" s="479"/>
      <c r="V198" s="479"/>
      <c r="W198" s="475"/>
      <c r="X198" s="475"/>
    </row>
    <row r="199" spans="1:24" ht="12.75">
      <c r="A199" s="71" t="s">
        <v>166</v>
      </c>
      <c r="B199" s="71"/>
      <c r="C199" s="265">
        <v>132.508</v>
      </c>
      <c r="D199" s="265">
        <v>135.862</v>
      </c>
      <c r="E199" s="153">
        <v>133.32245208754475</v>
      </c>
      <c r="F199" s="153">
        <v>132.30517142968054</v>
      </c>
      <c r="G199" s="153">
        <v>135.11712506529886</v>
      </c>
      <c r="H199" s="153">
        <v>139.63046796429018</v>
      </c>
      <c r="I199" s="153">
        <v>145.2091180405893</v>
      </c>
      <c r="K199" s="316" t="s">
        <v>651</v>
      </c>
      <c r="L199" s="480"/>
      <c r="M199" s="480"/>
      <c r="N199" s="480"/>
      <c r="O199" s="480"/>
      <c r="P199" s="480"/>
      <c r="Q199" s="475"/>
      <c r="R199" s="480"/>
      <c r="S199" s="480"/>
      <c r="T199" s="480"/>
      <c r="U199" s="480"/>
      <c r="V199" s="480"/>
      <c r="W199" s="475"/>
      <c r="X199" s="475"/>
    </row>
    <row r="200" spans="1:24" ht="12.75">
      <c r="A200" s="71" t="s">
        <v>129</v>
      </c>
      <c r="B200" s="71"/>
      <c r="C200" s="265">
        <v>169.135</v>
      </c>
      <c r="D200" s="265">
        <v>179.227</v>
      </c>
      <c r="E200" s="153">
        <v>178.52340823084847</v>
      </c>
      <c r="F200" s="153">
        <v>175.05111271510674</v>
      </c>
      <c r="G200" s="153">
        <v>182.71683543145713</v>
      </c>
      <c r="H200" s="153">
        <v>191.52822151109365</v>
      </c>
      <c r="I200" s="153">
        <v>202.52444670884748</v>
      </c>
      <c r="K200" s="316" t="s">
        <v>651</v>
      </c>
      <c r="L200" s="480"/>
      <c r="M200" s="480"/>
      <c r="N200" s="480"/>
      <c r="O200" s="480"/>
      <c r="P200" s="480"/>
      <c r="Q200" s="475"/>
      <c r="R200" s="480"/>
      <c r="S200" s="480"/>
      <c r="T200" s="480"/>
      <c r="U200" s="480"/>
      <c r="V200" s="480"/>
      <c r="W200" s="475"/>
      <c r="X200" s="475"/>
    </row>
    <row r="201" spans="1:24" ht="12.75">
      <c r="A201" s="71" t="s">
        <v>130</v>
      </c>
      <c r="B201" s="266">
        <v>1000</v>
      </c>
      <c r="C201" s="266">
        <v>1020</v>
      </c>
      <c r="D201" s="266">
        <v>1061</v>
      </c>
      <c r="E201" s="154">
        <v>1080.9</v>
      </c>
      <c r="F201" s="154">
        <v>1108.1460000000002</v>
      </c>
      <c r="G201" s="154">
        <v>1122.571</v>
      </c>
      <c r="H201" s="154">
        <v>1136.234</v>
      </c>
      <c r="I201" s="154">
        <v>1155.6090000000002</v>
      </c>
      <c r="K201" s="316" t="s">
        <v>651</v>
      </c>
      <c r="L201" s="481"/>
      <c r="M201" s="481"/>
      <c r="N201" s="481"/>
      <c r="O201" s="481"/>
      <c r="P201" s="481"/>
      <c r="Q201" s="475"/>
      <c r="R201" s="481"/>
      <c r="S201" s="481"/>
      <c r="T201" s="481"/>
      <c r="U201" s="481"/>
      <c r="V201" s="481"/>
      <c r="W201" s="475"/>
      <c r="X201" s="475"/>
    </row>
    <row r="202" spans="1:24" ht="12.75">
      <c r="A202" s="71" t="s">
        <v>131</v>
      </c>
      <c r="B202" s="71"/>
      <c r="C202" s="265">
        <v>2.2168</v>
      </c>
      <c r="D202" s="265">
        <v>2.2395</v>
      </c>
      <c r="E202" s="153">
        <v>2.2745</v>
      </c>
      <c r="F202" s="153">
        <v>2.2423</v>
      </c>
      <c r="G202" s="153">
        <v>2.2263</v>
      </c>
      <c r="H202" s="153">
        <v>2.2476</v>
      </c>
      <c r="I202" s="153">
        <v>2.296</v>
      </c>
      <c r="K202" s="316" t="s">
        <v>651</v>
      </c>
      <c r="L202" s="480"/>
      <c r="M202" s="480"/>
      <c r="N202" s="480"/>
      <c r="O202" s="480"/>
      <c r="P202" s="480"/>
      <c r="Q202" s="475"/>
      <c r="R202" s="480"/>
      <c r="S202" s="480"/>
      <c r="T202" s="480"/>
      <c r="U202" s="480"/>
      <c r="V202" s="480"/>
      <c r="W202" s="475"/>
      <c r="X202" s="475"/>
    </row>
    <row r="203" spans="1:24" ht="12.75">
      <c r="A203" s="71" t="s">
        <v>132</v>
      </c>
      <c r="B203" s="71"/>
      <c r="C203" s="268">
        <v>0.0373</v>
      </c>
      <c r="D203" s="268">
        <v>0.0363</v>
      </c>
      <c r="E203" s="155">
        <v>0.0485</v>
      </c>
      <c r="F203" s="155">
        <v>0.0715</v>
      </c>
      <c r="G203" s="155">
        <v>0.0765</v>
      </c>
      <c r="H203" s="155">
        <v>0.0647</v>
      </c>
      <c r="I203" s="155">
        <v>0.0523</v>
      </c>
      <c r="K203" s="316" t="s">
        <v>651</v>
      </c>
      <c r="L203" s="482"/>
      <c r="M203" s="482"/>
      <c r="N203" s="482"/>
      <c r="O203" s="482"/>
      <c r="P203" s="482"/>
      <c r="Q203" s="475"/>
      <c r="R203" s="482"/>
      <c r="S203" s="482"/>
      <c r="T203" s="482"/>
      <c r="U203" s="482"/>
      <c r="V203" s="482"/>
      <c r="W203" s="475"/>
      <c r="X203" s="475"/>
    </row>
    <row r="204" spans="1:24" ht="12.75">
      <c r="A204" s="71" t="s">
        <v>133</v>
      </c>
      <c r="B204" s="71"/>
      <c r="C204" s="267">
        <v>38.1</v>
      </c>
      <c r="D204" s="267">
        <v>38</v>
      </c>
      <c r="E204" s="156">
        <v>37.7</v>
      </c>
      <c r="F204" s="156">
        <v>37.9</v>
      </c>
      <c r="G204" s="156">
        <v>38.3</v>
      </c>
      <c r="H204" s="156">
        <v>38.2</v>
      </c>
      <c r="I204" s="156">
        <v>38.1</v>
      </c>
      <c r="K204" s="316" t="s">
        <v>651</v>
      </c>
      <c r="L204" s="483"/>
      <c r="M204" s="483"/>
      <c r="N204" s="483"/>
      <c r="O204" s="483"/>
      <c r="P204" s="483"/>
      <c r="Q204" s="475"/>
      <c r="R204" s="483"/>
      <c r="S204" s="483"/>
      <c r="T204" s="483"/>
      <c r="U204" s="483"/>
      <c r="V204" s="483"/>
      <c r="W204" s="475"/>
      <c r="X204" s="475"/>
    </row>
    <row r="205" spans="1:24" ht="12.75">
      <c r="A205" s="71" t="s">
        <v>223</v>
      </c>
      <c r="B205" s="71"/>
      <c r="C205" s="268">
        <v>0.0155</v>
      </c>
      <c r="D205" s="268">
        <v>0.0259</v>
      </c>
      <c r="E205" s="155">
        <v>-0.0035</v>
      </c>
      <c r="F205" s="155">
        <v>0.0302</v>
      </c>
      <c r="G205" s="155">
        <v>0.0255</v>
      </c>
      <c r="H205" s="155">
        <v>0.0125</v>
      </c>
      <c r="I205" s="155">
        <v>0.0071</v>
      </c>
      <c r="K205" s="316" t="s">
        <v>651</v>
      </c>
      <c r="L205" s="482"/>
      <c r="M205" s="482"/>
      <c r="N205" s="482"/>
      <c r="O205" s="482"/>
      <c r="P205" s="482"/>
      <c r="Q205" s="475"/>
      <c r="R205" s="482"/>
      <c r="S205" s="482"/>
      <c r="T205" s="482"/>
      <c r="U205" s="482"/>
      <c r="V205" s="482"/>
      <c r="W205" s="475"/>
      <c r="X205" s="475"/>
    </row>
    <row r="206" spans="1:24" ht="12.75">
      <c r="A206" s="71" t="s">
        <v>224</v>
      </c>
      <c r="B206" s="71"/>
      <c r="C206" s="268">
        <v>0.0472</v>
      </c>
      <c r="D206" s="268">
        <v>0.0451</v>
      </c>
      <c r="E206" s="155">
        <v>0.0461</v>
      </c>
      <c r="F206" s="155">
        <v>0.0217</v>
      </c>
      <c r="G206" s="155">
        <v>0.0131</v>
      </c>
      <c r="H206" s="155">
        <v>0.0126</v>
      </c>
      <c r="I206" s="155">
        <v>0.0158</v>
      </c>
      <c r="K206" s="316" t="s">
        <v>651</v>
      </c>
      <c r="L206" s="482"/>
      <c r="M206" s="482"/>
      <c r="N206" s="482"/>
      <c r="O206" s="482"/>
      <c r="P206" s="482"/>
      <c r="Q206" s="475"/>
      <c r="R206" s="482"/>
      <c r="S206" s="482"/>
      <c r="T206" s="482"/>
      <c r="U206" s="482"/>
      <c r="V206" s="482"/>
      <c r="W206" s="475"/>
      <c r="X206" s="475"/>
    </row>
    <row r="207" spans="1:24" ht="12.75">
      <c r="A207" s="71" t="s">
        <v>225</v>
      </c>
      <c r="B207" s="71"/>
      <c r="C207" s="314">
        <v>832.54</v>
      </c>
      <c r="D207" s="314">
        <v>861.55</v>
      </c>
      <c r="E207" s="315">
        <v>905.74</v>
      </c>
      <c r="F207" s="315">
        <v>927.37</v>
      </c>
      <c r="G207" s="315">
        <v>948.49</v>
      </c>
      <c r="H207" s="315">
        <v>958.62</v>
      </c>
      <c r="I207" s="315">
        <v>970.65</v>
      </c>
      <c r="K207" s="316" t="s">
        <v>651</v>
      </c>
      <c r="L207" s="484"/>
      <c r="M207" s="484"/>
      <c r="N207" s="484"/>
      <c r="O207" s="484"/>
      <c r="P207" s="484"/>
      <c r="Q207" s="475"/>
      <c r="R207" s="484"/>
      <c r="S207" s="484"/>
      <c r="T207" s="484"/>
      <c r="U207" s="484"/>
      <c r="V207" s="484"/>
      <c r="W207" s="475"/>
      <c r="X207" s="475"/>
    </row>
    <row r="208" spans="1:24" ht="12.75">
      <c r="A208" s="71" t="s">
        <v>876</v>
      </c>
      <c r="C208" s="268">
        <v>0.0641</v>
      </c>
      <c r="D208" s="268">
        <v>0.0687</v>
      </c>
      <c r="E208" s="155">
        <v>0.0492</v>
      </c>
      <c r="F208" s="155">
        <v>0.0443</v>
      </c>
      <c r="G208" s="155">
        <v>0.0466</v>
      </c>
      <c r="H208" s="155">
        <v>0.0515</v>
      </c>
      <c r="I208" s="155">
        <v>0.0562</v>
      </c>
      <c r="K208" s="316" t="s">
        <v>651</v>
      </c>
      <c r="L208" s="482"/>
      <c r="M208" s="482"/>
      <c r="N208" s="482"/>
      <c r="O208" s="482"/>
      <c r="P208" s="482"/>
      <c r="Q208" s="475"/>
      <c r="R208" s="482"/>
      <c r="S208" s="482"/>
      <c r="T208" s="482"/>
      <c r="U208" s="482"/>
      <c r="V208" s="482"/>
      <c r="W208" s="475"/>
      <c r="X208" s="475"/>
    </row>
    <row r="209" spans="12:24" ht="12.75">
      <c r="L209" s="475"/>
      <c r="M209" s="475"/>
      <c r="N209" s="475"/>
      <c r="O209" s="475"/>
      <c r="P209" s="475"/>
      <c r="Q209" s="475"/>
      <c r="R209" s="475"/>
      <c r="S209" s="475"/>
      <c r="T209" s="475"/>
      <c r="U209" s="475"/>
      <c r="V209" s="475"/>
      <c r="W209" s="475"/>
      <c r="X209" s="475"/>
    </row>
    <row r="211" spans="3:9" ht="12.75">
      <c r="C211" s="141"/>
      <c r="D211" s="141"/>
      <c r="E211" s="141"/>
      <c r="F211" s="141"/>
      <c r="G211" s="141"/>
      <c r="H211" s="141"/>
      <c r="I211" s="14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2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44"/>
  <sheetViews>
    <sheetView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65.7109375" style="458" customWidth="1"/>
    <col min="2" max="2" width="8.7109375" style="393" customWidth="1"/>
    <col min="3" max="3" width="8.7109375" style="405" customWidth="1"/>
    <col min="4" max="10" width="8.7109375" style="391" customWidth="1"/>
    <col min="11" max="19" width="8.7109375" style="392" customWidth="1"/>
    <col min="20" max="16384" width="9.140625" style="393" customWidth="1"/>
  </cols>
  <sheetData>
    <row r="1" spans="1:10" ht="15.75">
      <c r="A1" s="388" t="s">
        <v>459</v>
      </c>
      <c r="B1" s="389" t="s">
        <v>501</v>
      </c>
      <c r="C1" s="390">
        <f>MATCH($B$1,Scenarios!$B$3:$D$3,0)</f>
        <v>1</v>
      </c>
      <c r="I1" s="392"/>
      <c r="J1" s="392"/>
    </row>
    <row r="2" spans="1:19" ht="13.5">
      <c r="A2" s="394" t="s">
        <v>806</v>
      </c>
      <c r="B2" s="395"/>
      <c r="C2" s="396" t="s">
        <v>694</v>
      </c>
      <c r="D2" s="393"/>
      <c r="E2" s="393"/>
      <c r="F2" s="393"/>
      <c r="G2" s="393"/>
      <c r="H2" s="393"/>
      <c r="I2" s="393"/>
      <c r="J2" s="393"/>
      <c r="K2" s="397" t="s">
        <v>162</v>
      </c>
      <c r="L2" s="393"/>
      <c r="M2" s="393"/>
      <c r="N2" s="393"/>
      <c r="O2" s="393"/>
      <c r="P2" s="393"/>
      <c r="Q2" s="393"/>
      <c r="R2" s="393"/>
      <c r="S2" s="393"/>
    </row>
    <row r="3" spans="1:20" ht="15.75">
      <c r="A3" s="398" t="s">
        <v>145</v>
      </c>
      <c r="B3" s="399"/>
      <c r="C3" s="399"/>
      <c r="D3" s="399" t="s">
        <v>536</v>
      </c>
      <c r="E3" s="399" t="s">
        <v>537</v>
      </c>
      <c r="F3" s="400" t="s">
        <v>538</v>
      </c>
      <c r="G3" s="400" t="s">
        <v>539</v>
      </c>
      <c r="H3" s="400" t="s">
        <v>540</v>
      </c>
      <c r="I3" s="400" t="s">
        <v>541</v>
      </c>
      <c r="J3" s="400" t="s">
        <v>542</v>
      </c>
      <c r="K3" s="401" t="s">
        <v>543</v>
      </c>
      <c r="L3" s="401" t="s">
        <v>544</v>
      </c>
      <c r="M3" s="401" t="s">
        <v>545</v>
      </c>
      <c r="N3" s="401" t="s">
        <v>546</v>
      </c>
      <c r="O3" s="401" t="s">
        <v>547</v>
      </c>
      <c r="P3" s="401" t="s">
        <v>548</v>
      </c>
      <c r="Q3" s="401" t="s">
        <v>549</v>
      </c>
      <c r="R3" s="401" t="s">
        <v>550</v>
      </c>
      <c r="S3" s="401" t="s">
        <v>551</v>
      </c>
      <c r="T3" s="401" t="s">
        <v>552</v>
      </c>
    </row>
    <row r="4" spans="1:19" ht="13.5">
      <c r="A4" s="402" t="s">
        <v>409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</row>
    <row r="5" spans="1:20" ht="21" customHeight="1">
      <c r="A5" s="403"/>
      <c r="C5" s="393"/>
      <c r="D5" s="163">
        <f ca="1">OFFSET(D$7,Offsets!$B$1,0)/D$203</f>
        <v>0.07802051615573358</v>
      </c>
      <c r="E5" s="163">
        <f ca="1">OFFSET(E$7,Offsets!$B$1,0)/E$203</f>
        <v>0.05723468004262749</v>
      </c>
      <c r="F5" s="167">
        <f ca="1">OFFSET(F$7,Offsets!$B$1,0)/F$203</f>
        <v>0.08672252089193949</v>
      </c>
      <c r="G5" s="167">
        <f ca="1">OFFSET(G$7,Offsets!$B$1,0)/G$203</f>
        <v>0.15606298969639396</v>
      </c>
      <c r="H5" s="167">
        <f ca="1">OFFSET(H$7,Offsets!$B$1,0)/H$203</f>
        <v>0.21759899631643337</v>
      </c>
      <c r="I5" s="167">
        <f ca="1">OFFSET(I$7,Offsets!$B$1,0)/I$203</f>
        <v>0.27103055408987486</v>
      </c>
      <c r="J5" s="167">
        <f ca="1">OFFSET(J$7,Offsets!$B$1,0)/J$203</f>
        <v>0.309266367679768</v>
      </c>
      <c r="K5" s="164">
        <f ca="1">OFFSET(K$7,Offsets!$B$1,0)/K$203</f>
        <v>0.3354742090451466</v>
      </c>
      <c r="L5" s="164">
        <f ca="1">OFFSET(L$7,Offsets!$B$1,0)/L$203</f>
        <v>0.3500116185893337</v>
      </c>
      <c r="M5" s="164">
        <f ca="1">OFFSET(M$7,Offsets!$B$1,0)/M$203</f>
        <v>0.356298685385284</v>
      </c>
      <c r="N5" s="164">
        <f ca="1">OFFSET(N$7,Offsets!$B$1,0)/N$203</f>
        <v>0.3587999227910574</v>
      </c>
      <c r="O5" s="164">
        <f ca="1">OFFSET(O$7,Offsets!$B$1,0)/O$203</f>
        <v>0.357245170650364</v>
      </c>
      <c r="P5" s="164">
        <f ca="1">OFFSET(P$7,Offsets!$B$1,0)/P$203</f>
        <v>0.3513157805102691</v>
      </c>
      <c r="Q5" s="164">
        <f ca="1">OFFSET(Q$7,Offsets!$B$1,0)/Q$203</f>
        <v>0.3409091804165225</v>
      </c>
      <c r="R5" s="164">
        <f ca="1">OFFSET(R$7,Offsets!$B$1,0)/R$203</f>
        <v>0.3344261731108219</v>
      </c>
      <c r="S5" s="164">
        <f ca="1">OFFSET(S$7,Offsets!$B$1,0)/S$203</f>
        <v>0.3227601340012857</v>
      </c>
      <c r="T5" s="164">
        <f ca="1">OFFSET(T$7,Offsets!$B$1,0)/T$203</f>
        <v>0.30585480330236625</v>
      </c>
    </row>
    <row r="6" spans="1:20" ht="15.75" customHeight="1">
      <c r="A6" s="404" t="s">
        <v>450</v>
      </c>
      <c r="C6" s="39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</row>
    <row r="7" spans="1:19" ht="12.75">
      <c r="A7" s="403" t="s">
        <v>173</v>
      </c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</row>
    <row r="8" spans="1:20" ht="12.75">
      <c r="A8" s="323" t="s">
        <v>779</v>
      </c>
      <c r="B8" s="407"/>
      <c r="C8" s="393"/>
      <c r="D8" s="407">
        <f aca="true" t="shared" si="0" ref="D8:T8">D$50</f>
        <v>53.06400000000001</v>
      </c>
      <c r="E8" s="407">
        <f t="shared" si="0"/>
        <v>56.372</v>
      </c>
      <c r="F8" s="408">
        <f t="shared" si="0"/>
        <v>53.522999999999996</v>
      </c>
      <c r="G8" s="408">
        <f t="shared" si="0"/>
        <v>51.05200000000001</v>
      </c>
      <c r="H8" s="408">
        <f t="shared" si="0"/>
        <v>51.326</v>
      </c>
      <c r="I8" s="408">
        <f t="shared" si="0"/>
        <v>54.013</v>
      </c>
      <c r="J8" s="408">
        <f t="shared" si="0"/>
        <v>57.78099999999999</v>
      </c>
      <c r="K8" s="392">
        <f t="shared" si="0"/>
        <v>62.09633243918236</v>
      </c>
      <c r="L8" s="392">
        <f t="shared" si="0"/>
        <v>66.53822231592298</v>
      </c>
      <c r="M8" s="392">
        <f t="shared" si="0"/>
        <v>70.84463752033696</v>
      </c>
      <c r="N8" s="392">
        <f t="shared" si="0"/>
        <v>74.35320679803861</v>
      </c>
      <c r="O8" s="392">
        <f t="shared" si="0"/>
        <v>77.91174535308241</v>
      </c>
      <c r="P8" s="392">
        <f t="shared" si="0"/>
        <v>81.6256383291788</v>
      </c>
      <c r="Q8" s="392">
        <f t="shared" si="0"/>
        <v>85.50461128083344</v>
      </c>
      <c r="R8" s="392">
        <f t="shared" si="0"/>
        <v>89.53927323450941</v>
      </c>
      <c r="S8" s="392">
        <f t="shared" si="0"/>
        <v>93.7845385177917</v>
      </c>
      <c r="T8" s="392">
        <f t="shared" si="0"/>
        <v>98.22192615976704</v>
      </c>
    </row>
    <row r="9" spans="1:20" ht="12.75">
      <c r="A9" s="323" t="s">
        <v>377</v>
      </c>
      <c r="B9" s="407"/>
      <c r="C9" s="393"/>
      <c r="D9" s="407">
        <f aca="true" t="shared" si="1" ref="D9:T9">SUM(D$8,D$58,D$66)</f>
        <v>74.58900000000001</v>
      </c>
      <c r="E9" s="407">
        <f t="shared" si="1"/>
        <v>81.479</v>
      </c>
      <c r="F9" s="408">
        <f t="shared" si="1"/>
        <v>78.95899999999999</v>
      </c>
      <c r="G9" s="408">
        <f t="shared" si="1"/>
        <v>77.93400000000001</v>
      </c>
      <c r="H9" s="408">
        <f t="shared" si="1"/>
        <v>80.489</v>
      </c>
      <c r="I9" s="408">
        <f t="shared" si="1"/>
        <v>83.853</v>
      </c>
      <c r="J9" s="408">
        <f t="shared" si="1"/>
        <v>89.112</v>
      </c>
      <c r="K9" s="392">
        <f t="shared" si="1"/>
        <v>94.86715261269045</v>
      </c>
      <c r="L9" s="392">
        <f t="shared" si="1"/>
        <v>100.98232348002225</v>
      </c>
      <c r="M9" s="392">
        <f t="shared" si="1"/>
        <v>106.97535930622124</v>
      </c>
      <c r="N9" s="392">
        <f t="shared" si="1"/>
        <v>111.91981492758407</v>
      </c>
      <c r="O9" s="392">
        <f t="shared" si="1"/>
        <v>116.92507825301367</v>
      </c>
      <c r="P9" s="392">
        <f t="shared" si="1"/>
        <v>122.03761604421278</v>
      </c>
      <c r="Q9" s="392">
        <f t="shared" si="1"/>
        <v>127.37048988848844</v>
      </c>
      <c r="R9" s="392">
        <f t="shared" si="1"/>
        <v>132.94080135638012</v>
      </c>
      <c r="S9" s="392">
        <f t="shared" si="1"/>
        <v>138.83000278449836</v>
      </c>
      <c r="T9" s="392">
        <f t="shared" si="1"/>
        <v>144.97809028419206</v>
      </c>
    </row>
    <row r="10" spans="1:20" ht="12.75">
      <c r="A10" s="323" t="s">
        <v>378</v>
      </c>
      <c r="B10" s="407"/>
      <c r="C10" s="393"/>
      <c r="D10" s="407">
        <f aca="true" t="shared" si="2" ref="D10:T10">SUM(D$11,D$107)</f>
        <v>68.729</v>
      </c>
      <c r="E10" s="407">
        <f t="shared" si="2"/>
        <v>75.842</v>
      </c>
      <c r="F10" s="408">
        <f t="shared" si="2"/>
        <v>81.875</v>
      </c>
      <c r="G10" s="408">
        <f t="shared" si="2"/>
        <v>85.67300000000002</v>
      </c>
      <c r="H10" s="408">
        <f t="shared" si="2"/>
        <v>89.75399999999999</v>
      </c>
      <c r="I10" s="408">
        <f t="shared" si="2"/>
        <v>93.436</v>
      </c>
      <c r="J10" s="408">
        <f t="shared" si="2"/>
        <v>97.53499999999998</v>
      </c>
      <c r="K10" s="392">
        <f t="shared" si="2"/>
        <v>101.01194826887848</v>
      </c>
      <c r="L10" s="392">
        <f t="shared" si="2"/>
        <v>105.22715259218785</v>
      </c>
      <c r="M10" s="392">
        <f t="shared" si="2"/>
        <v>109.48861289754728</v>
      </c>
      <c r="N10" s="392">
        <f t="shared" si="2"/>
        <v>113.53444439222864</v>
      </c>
      <c r="O10" s="392">
        <f t="shared" si="2"/>
        <v>117.46471776473014</v>
      </c>
      <c r="P10" s="392">
        <f t="shared" si="2"/>
        <v>121.38569178259183</v>
      </c>
      <c r="Q10" s="392">
        <f t="shared" si="2"/>
        <v>125.35901291718605</v>
      </c>
      <c r="R10" s="392">
        <f t="shared" si="2"/>
        <v>129.18696223608654</v>
      </c>
      <c r="S10" s="392">
        <f t="shared" si="2"/>
        <v>133.5230220744334</v>
      </c>
      <c r="T10" s="392">
        <f t="shared" si="2"/>
        <v>137.90420927026204</v>
      </c>
    </row>
    <row r="11" spans="1:20" ht="12.75">
      <c r="A11" s="323" t="s">
        <v>383</v>
      </c>
      <c r="B11" s="407"/>
      <c r="C11" s="393"/>
      <c r="D11" s="407">
        <f>SUM($D$109:D$109,D$75,D$85,D$91,D$103)</f>
        <v>65.844</v>
      </c>
      <c r="E11" s="407">
        <f>SUM($D$109:E$109,E$75,E$85,E$91,E$103)</f>
        <v>72.741</v>
      </c>
      <c r="F11" s="408">
        <f>SUM($D$109:F$109,F$75,F$85,F$91,F$103)</f>
        <v>78.517</v>
      </c>
      <c r="G11" s="408">
        <f>SUM($D$109:G$109,G$75,G$85,G$91,G$103)</f>
        <v>82.32400000000001</v>
      </c>
      <c r="H11" s="408">
        <f>SUM($D$109:H$109,H$75,H$85,H$91,H$103)</f>
        <v>85.73499999999999</v>
      </c>
      <c r="I11" s="408">
        <f>SUM($D$109:I$109,I$75,I$85,I$91,I$103)</f>
        <v>88.811</v>
      </c>
      <c r="J11" s="408">
        <f>SUM($D$109:J$109,J$75,J$85,J$91,J$103)</f>
        <v>92.07499999999999</v>
      </c>
      <c r="K11" s="392">
        <f>SUM($D$109:K$109,K$75,K$85,K$91,K$103)</f>
        <v>94.91322706887848</v>
      </c>
      <c r="L11" s="392">
        <f>SUM($D$109:L$109,L$75,L$85,L$91,L$103)</f>
        <v>98.42615175587801</v>
      </c>
      <c r="M11" s="392">
        <f>SUM($D$109:M$109,M$75,M$85,M$91,M$103)</f>
        <v>102.05050721303363</v>
      </c>
      <c r="N11" s="392">
        <f>SUM($D$109:N$109,N$75,N$85,N$91,N$103)</f>
        <v>105.55491305696893</v>
      </c>
      <c r="O11" s="392">
        <f>SUM($D$109:O$109,O$75,O$85,O$91,O$103)</f>
        <v>109.14337360524941</v>
      </c>
      <c r="P11" s="392">
        <f>SUM($D$109:P$109,P$75,P$85,P$91,P$103)</f>
        <v>112.77653857873807</v>
      </c>
      <c r="Q11" s="392">
        <f>SUM($D$109:Q$109,Q$75,Q$85,Q$91,Q$103)</f>
        <v>116.51895699685956</v>
      </c>
      <c r="R11" s="392">
        <f>SUM($D$109:R$109,R$75,R$85,R$91,R$103)</f>
        <v>120.18231406856133</v>
      </c>
      <c r="S11" s="392">
        <f>SUM($D$109:S$109,S$75,S$85,S$91,S$103)</f>
        <v>124.30789830138184</v>
      </c>
      <c r="T11" s="392">
        <f>SUM($D$109:T$109,T$75,T$85,T$91,T$103)</f>
        <v>128.56168410923453</v>
      </c>
    </row>
    <row r="12" spans="1:20" ht="12.75">
      <c r="A12" s="323" t="s">
        <v>379</v>
      </c>
      <c r="B12" s="407"/>
      <c r="C12" s="393"/>
      <c r="D12" s="407">
        <f>D$9-D$10</f>
        <v>5.860000000000014</v>
      </c>
      <c r="E12" s="407">
        <f aca="true" t="shared" si="3" ref="E12:T12">E$9-E$10</f>
        <v>5.6370000000000005</v>
      </c>
      <c r="F12" s="408">
        <f t="shared" si="3"/>
        <v>-2.916000000000011</v>
      </c>
      <c r="G12" s="408">
        <f t="shared" si="3"/>
        <v>-7.739000000000004</v>
      </c>
      <c r="H12" s="408">
        <f t="shared" si="3"/>
        <v>-9.264999999999986</v>
      </c>
      <c r="I12" s="408">
        <f t="shared" si="3"/>
        <v>-9.583000000000013</v>
      </c>
      <c r="J12" s="408">
        <f t="shared" si="3"/>
        <v>-8.422999999999988</v>
      </c>
      <c r="K12" s="392">
        <f t="shared" si="3"/>
        <v>-6.1447956561880375</v>
      </c>
      <c r="L12" s="392">
        <f t="shared" si="3"/>
        <v>-4.244829112165604</v>
      </c>
      <c r="M12" s="392">
        <f t="shared" si="3"/>
        <v>-2.5132535913260483</v>
      </c>
      <c r="N12" s="392">
        <f t="shared" si="3"/>
        <v>-1.6146294646445654</v>
      </c>
      <c r="O12" s="392">
        <f t="shared" si="3"/>
        <v>-0.539639511716473</v>
      </c>
      <c r="P12" s="392">
        <f t="shared" si="3"/>
        <v>0.6519242616209482</v>
      </c>
      <c r="Q12" s="392">
        <f t="shared" si="3"/>
        <v>2.011476971302386</v>
      </c>
      <c r="R12" s="392">
        <f t="shared" si="3"/>
        <v>3.753839120293577</v>
      </c>
      <c r="S12" s="392">
        <f t="shared" si="3"/>
        <v>5.306980710064948</v>
      </c>
      <c r="T12" s="392">
        <f t="shared" si="3"/>
        <v>7.07388101393002</v>
      </c>
    </row>
    <row r="13" spans="1:20" ht="12.75">
      <c r="A13" s="323" t="s">
        <v>780</v>
      </c>
      <c r="B13" s="407"/>
      <c r="C13" s="393"/>
      <c r="D13" s="407">
        <f aca="true" t="shared" si="4" ref="D13:T13">D$12-(D$131-D$134-D$138)</f>
        <v>6.250000000000013</v>
      </c>
      <c r="E13" s="407">
        <f t="shared" si="4"/>
        <v>5.586</v>
      </c>
      <c r="F13" s="408">
        <f t="shared" si="4"/>
        <v>-3.295000000000011</v>
      </c>
      <c r="G13" s="408">
        <f t="shared" si="4"/>
        <v>-8.025000000000004</v>
      </c>
      <c r="H13" s="408">
        <f t="shared" si="4"/>
        <v>-9.573999999999986</v>
      </c>
      <c r="I13" s="408">
        <f t="shared" si="4"/>
        <v>-9.751000000000012</v>
      </c>
      <c r="J13" s="408">
        <f t="shared" si="4"/>
        <v>-8.384999999999987</v>
      </c>
      <c r="K13" s="392">
        <f t="shared" si="4"/>
        <v>-6.11226834342208</v>
      </c>
      <c r="L13" s="392">
        <f t="shared" si="4"/>
        <v>-4.210163453858413</v>
      </c>
      <c r="M13" s="392">
        <f t="shared" si="4"/>
        <v>-2.476309012641742</v>
      </c>
      <c r="N13" s="392">
        <f t="shared" si="4"/>
        <v>-1.5752561493575528</v>
      </c>
      <c r="O13" s="392">
        <f t="shared" si="4"/>
        <v>-0.4976777946824922</v>
      </c>
      <c r="P13" s="392">
        <f t="shared" si="4"/>
        <v>0.6966445419327429</v>
      </c>
      <c r="Q13" s="392">
        <f t="shared" si="4"/>
        <v>2.059137162841878</v>
      </c>
      <c r="R13" s="392">
        <f t="shared" si="4"/>
        <v>3.806943619465965</v>
      </c>
      <c r="S13" s="392">
        <f t="shared" si="4"/>
        <v>5.368340214286671</v>
      </c>
      <c r="T13" s="392">
        <f t="shared" si="4"/>
        <v>7.143827243741741</v>
      </c>
    </row>
    <row r="14" spans="1:20" ht="12.75">
      <c r="A14" s="323" t="s">
        <v>653</v>
      </c>
      <c r="B14" s="409"/>
      <c r="C14" s="393"/>
      <c r="D14" s="407">
        <f>SUM(Data!C$12:C$15)</f>
        <v>2.163</v>
      </c>
      <c r="E14" s="407">
        <f>SUM(Data!D$12:D$15)</f>
        <v>-3.253</v>
      </c>
      <c r="F14" s="408">
        <f>SUM(Data!E$12:E$15)</f>
        <v>-6.387</v>
      </c>
      <c r="G14" s="408">
        <f>SUM(Data!F$12:F$15)</f>
        <v>2.0100000000000002</v>
      </c>
      <c r="H14" s="408">
        <f>SUM(Data!G$12:G$15)</f>
        <v>2.154</v>
      </c>
      <c r="I14" s="408">
        <f>SUM(Data!H$12:H$15)</f>
        <v>2.468</v>
      </c>
      <c r="J14" s="408">
        <f>SUM(Data!I$12:I$15)</f>
        <v>2.6500000000000004</v>
      </c>
      <c r="K14" s="392">
        <f aca="true" t="shared" si="5" ref="K14:T14">SUM(J$14,(K$132-J$132),(J$14-J$21)*K$204)</f>
        <v>2.4827000225999734</v>
      </c>
      <c r="L14" s="392">
        <f t="shared" si="5"/>
        <v>2.628159311391742</v>
      </c>
      <c r="M14" s="392">
        <f t="shared" si="5"/>
        <v>2.779701600033087</v>
      </c>
      <c r="N14" s="392">
        <f t="shared" si="5"/>
        <v>2.927560298796543</v>
      </c>
      <c r="O14" s="392">
        <f t="shared" si="5"/>
        <v>3.082109976604055</v>
      </c>
      <c r="P14" s="392">
        <f t="shared" si="5"/>
        <v>3.2453963362632026</v>
      </c>
      <c r="Q14" s="392">
        <f t="shared" si="5"/>
        <v>3.417985063408004</v>
      </c>
      <c r="R14" s="392">
        <f t="shared" si="5"/>
        <v>3.693897596497539</v>
      </c>
      <c r="S14" s="392">
        <f t="shared" si="5"/>
        <v>4.086355119110676</v>
      </c>
      <c r="T14" s="392">
        <f t="shared" si="5"/>
        <v>4.494496898956556</v>
      </c>
    </row>
    <row r="15" spans="1:20" ht="12.75">
      <c r="A15" s="323" t="s">
        <v>138</v>
      </c>
      <c r="B15" s="406"/>
      <c r="C15" s="393"/>
      <c r="D15" s="407">
        <f aca="true" t="shared" si="6" ref="D15:T15">SUM(D$12,D$14)</f>
        <v>8.023000000000014</v>
      </c>
      <c r="E15" s="407">
        <f t="shared" si="6"/>
        <v>2.3840000000000003</v>
      </c>
      <c r="F15" s="408">
        <f t="shared" si="6"/>
        <v>-9.303000000000011</v>
      </c>
      <c r="G15" s="408">
        <f t="shared" si="6"/>
        <v>-5.7290000000000045</v>
      </c>
      <c r="H15" s="408">
        <f t="shared" si="6"/>
        <v>-7.110999999999986</v>
      </c>
      <c r="I15" s="408">
        <f t="shared" si="6"/>
        <v>-7.115000000000013</v>
      </c>
      <c r="J15" s="408">
        <f t="shared" si="6"/>
        <v>-5.772999999999987</v>
      </c>
      <c r="K15" s="392">
        <f t="shared" si="6"/>
        <v>-3.662095633588064</v>
      </c>
      <c r="L15" s="392">
        <f t="shared" si="6"/>
        <v>-1.6166698007738622</v>
      </c>
      <c r="M15" s="392">
        <f t="shared" si="6"/>
        <v>0.26644800870703866</v>
      </c>
      <c r="N15" s="392">
        <f t="shared" si="6"/>
        <v>1.3129308341519774</v>
      </c>
      <c r="O15" s="392">
        <f t="shared" si="6"/>
        <v>2.542470464887582</v>
      </c>
      <c r="P15" s="392">
        <f t="shared" si="6"/>
        <v>3.8973205978841508</v>
      </c>
      <c r="Q15" s="392">
        <f t="shared" si="6"/>
        <v>5.42946203471039</v>
      </c>
      <c r="R15" s="392">
        <f t="shared" si="6"/>
        <v>7.447736716791116</v>
      </c>
      <c r="S15" s="392">
        <f t="shared" si="6"/>
        <v>9.393335829175625</v>
      </c>
      <c r="T15" s="392">
        <f t="shared" si="6"/>
        <v>11.568377912886575</v>
      </c>
    </row>
    <row r="16" spans="1:20" ht="12.75">
      <c r="A16" s="403" t="s">
        <v>176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</row>
    <row r="17" spans="1:20" ht="12.75">
      <c r="A17" s="323" t="s">
        <v>779</v>
      </c>
      <c r="B17" s="407"/>
      <c r="C17" s="393"/>
      <c r="D17" s="407">
        <f aca="true" t="shared" si="7" ref="D17:T17">D$52</f>
        <v>53.477</v>
      </c>
      <c r="E17" s="407">
        <f t="shared" si="7"/>
        <v>56.747</v>
      </c>
      <c r="F17" s="408">
        <f t="shared" si="7"/>
        <v>54.053</v>
      </c>
      <c r="G17" s="408">
        <f t="shared" si="7"/>
        <v>51.58</v>
      </c>
      <c r="H17" s="408">
        <f t="shared" si="7"/>
        <v>51.844</v>
      </c>
      <c r="I17" s="408">
        <f t="shared" si="7"/>
        <v>54.591</v>
      </c>
      <c r="J17" s="408">
        <f t="shared" si="7"/>
        <v>58.406</v>
      </c>
      <c r="K17" s="392">
        <f t="shared" si="7"/>
        <v>62.75757971343191</v>
      </c>
      <c r="L17" s="392">
        <f t="shared" si="7"/>
        <v>67.23844500807965</v>
      </c>
      <c r="M17" s="392">
        <f t="shared" si="7"/>
        <v>71.58408929303401</v>
      </c>
      <c r="N17" s="392">
        <f t="shared" si="7"/>
        <v>75.12541270961013</v>
      </c>
      <c r="O17" s="392">
        <f t="shared" si="7"/>
        <v>78.71684880670834</v>
      </c>
      <c r="P17" s="392">
        <f t="shared" si="7"/>
        <v>82.46485759979434</v>
      </c>
      <c r="Q17" s="392">
        <f t="shared" si="7"/>
        <v>86.3792389844726</v>
      </c>
      <c r="R17" s="392">
        <f t="shared" si="7"/>
        <v>90.4504797143231</v>
      </c>
      <c r="S17" s="392">
        <f t="shared" si="7"/>
        <v>94.73402481724786</v>
      </c>
      <c r="T17" s="392">
        <f t="shared" si="7"/>
        <v>99.21117324778817</v>
      </c>
    </row>
    <row r="18" spans="1:20" ht="12.75">
      <c r="A18" s="323" t="s">
        <v>377</v>
      </c>
      <c r="B18" s="407"/>
      <c r="C18" s="393"/>
      <c r="D18" s="407">
        <f aca="true" t="shared" si="8" ref="D18:T18">SUM(D$17,D$57,D$64)</f>
        <v>58.211</v>
      </c>
      <c r="E18" s="407">
        <f t="shared" si="8"/>
        <v>61.819</v>
      </c>
      <c r="F18" s="408">
        <f t="shared" si="8"/>
        <v>58.873999999999995</v>
      </c>
      <c r="G18" s="408">
        <f t="shared" si="8"/>
        <v>56.771</v>
      </c>
      <c r="H18" s="408">
        <f t="shared" si="8"/>
        <v>57.518</v>
      </c>
      <c r="I18" s="408">
        <f t="shared" si="8"/>
        <v>60.538000000000004</v>
      </c>
      <c r="J18" s="408">
        <f t="shared" si="8"/>
        <v>65.04599999999999</v>
      </c>
      <c r="K18" s="392">
        <f t="shared" si="8"/>
        <v>69.4054295693473</v>
      </c>
      <c r="L18" s="392">
        <f t="shared" si="8"/>
        <v>74.01982858491448</v>
      </c>
      <c r="M18" s="392">
        <f t="shared" si="8"/>
        <v>78.50232512745801</v>
      </c>
      <c r="N18" s="392">
        <f t="shared" si="8"/>
        <v>82.18556297897598</v>
      </c>
      <c r="O18" s="392">
        <f t="shared" si="8"/>
        <v>85.9240867090753</v>
      </c>
      <c r="P18" s="392">
        <f t="shared" si="8"/>
        <v>89.7229744975991</v>
      </c>
      <c r="Q18" s="392">
        <f t="shared" si="8"/>
        <v>93.69242538324099</v>
      </c>
      <c r="R18" s="392">
        <f t="shared" si="8"/>
        <v>97.85424912726651</v>
      </c>
      <c r="S18" s="392">
        <f t="shared" si="8"/>
        <v>102.26946313215988</v>
      </c>
      <c r="T18" s="392">
        <f t="shared" si="8"/>
        <v>106.88653761168575</v>
      </c>
    </row>
    <row r="19" spans="1:20" ht="12.75">
      <c r="A19" s="323" t="s">
        <v>378</v>
      </c>
      <c r="B19" s="407"/>
      <c r="C19" s="393"/>
      <c r="D19" s="407">
        <f aca="true" t="shared" si="9" ref="D19:T19">SUM(D$20,D$106)</f>
        <v>54.00300000000001</v>
      </c>
      <c r="E19" s="407">
        <f t="shared" si="9"/>
        <v>56.99700000000001</v>
      </c>
      <c r="F19" s="408">
        <f t="shared" si="9"/>
        <v>62.363</v>
      </c>
      <c r="G19" s="408">
        <f t="shared" si="9"/>
        <v>65.282</v>
      </c>
      <c r="H19" s="408">
        <f t="shared" si="9"/>
        <v>67.44600000000001</v>
      </c>
      <c r="I19" s="408">
        <f t="shared" si="9"/>
        <v>70.361</v>
      </c>
      <c r="J19" s="408">
        <f t="shared" si="9"/>
        <v>73.44</v>
      </c>
      <c r="K19" s="392">
        <f t="shared" si="9"/>
        <v>75.98413212576637</v>
      </c>
      <c r="L19" s="392">
        <f t="shared" si="9"/>
        <v>78.86451369218574</v>
      </c>
      <c r="M19" s="392">
        <f t="shared" si="9"/>
        <v>81.76541178308167</v>
      </c>
      <c r="N19" s="392">
        <f t="shared" si="9"/>
        <v>84.61849721891531</v>
      </c>
      <c r="O19" s="392">
        <f t="shared" si="9"/>
        <v>87.36384985623164</v>
      </c>
      <c r="P19" s="392">
        <f t="shared" si="9"/>
        <v>90.04970485162688</v>
      </c>
      <c r="Q19" s="392">
        <f t="shared" si="9"/>
        <v>92.73013242455045</v>
      </c>
      <c r="R19" s="392">
        <f t="shared" si="9"/>
        <v>95.21524531995261</v>
      </c>
      <c r="S19" s="392">
        <f t="shared" si="9"/>
        <v>98.14576343555626</v>
      </c>
      <c r="T19" s="392">
        <f t="shared" si="9"/>
        <v>101.04350365158496</v>
      </c>
    </row>
    <row r="20" spans="1:20" ht="12.75">
      <c r="A20" s="323" t="s">
        <v>383</v>
      </c>
      <c r="B20" s="407"/>
      <c r="C20" s="393"/>
      <c r="D20" s="407">
        <f>SUM($D$109:D$109,D$73,D$84,D$90,D$102)</f>
        <v>51.67400000000001</v>
      </c>
      <c r="E20" s="407">
        <f>SUM($D$109:E$109,E$73,E$84,E$90,E$102)</f>
        <v>54.537000000000006</v>
      </c>
      <c r="F20" s="408">
        <f>SUM($D$109:F$109,F$73,F$84,F$90,F$102)</f>
        <v>59.856</v>
      </c>
      <c r="G20" s="408">
        <f>SUM($D$109:G$109,G$73,G$84,G$90,G$102)</f>
        <v>62.812</v>
      </c>
      <c r="H20" s="408">
        <f>SUM($D$109:H$109,H$73,H$84,H$90,H$102)</f>
        <v>64.44800000000001</v>
      </c>
      <c r="I20" s="408">
        <f>SUM($D$109:I$109,I$73,I$84,I$90,I$102)</f>
        <v>66.786</v>
      </c>
      <c r="J20" s="408">
        <f>SUM($D$109:J$109,J$73,J$84,J$90,J$102)</f>
        <v>69.11</v>
      </c>
      <c r="K20" s="392">
        <f>SUM($D$109:K$109,K$73,K$84,K$90,K$102)</f>
        <v>70.74381132576636</v>
      </c>
      <c r="L20" s="392">
        <f>SUM($D$109:L$109,L$73,L$84,L$90,L$102)</f>
        <v>72.96696268419237</v>
      </c>
      <c r="M20" s="392">
        <f>SUM($D$109:M$109,M$73,M$84,M$90,M$102)</f>
        <v>75.29061123249159</v>
      </c>
      <c r="N20" s="392">
        <f>SUM($D$109:N$109,N$73,N$84,N$90,N$102)</f>
        <v>77.66836258568082</v>
      </c>
      <c r="O20" s="392">
        <f>SUM($D$109:O$109,O$73,O$84,O$90,O$102)</f>
        <v>80.11851741938554</v>
      </c>
      <c r="P20" s="392">
        <f>SUM($D$109:P$109,P$73,P$84,P$90,P$102)</f>
        <v>82.56823428388385</v>
      </c>
      <c r="Q20" s="392">
        <f>SUM($D$109:Q$109,Q$73,Q$84,Q$90,Q$102)</f>
        <v>85.07725000983093</v>
      </c>
      <c r="R20" s="392">
        <f>SUM($D$109:R$109,R$73,R$84,R$90,R$102)</f>
        <v>87.46607720922147</v>
      </c>
      <c r="S20" s="392">
        <f>SUM($D$109:S$109,S$73,S$84,S$90,S$102)</f>
        <v>90.25314846724127</v>
      </c>
      <c r="T20" s="392">
        <f>SUM($D$109:T$109,T$73,T$84,T$90,T$102)</f>
        <v>93.10175106980901</v>
      </c>
    </row>
    <row r="21" spans="1:20" ht="12.75">
      <c r="A21" s="323" t="s">
        <v>653</v>
      </c>
      <c r="B21" s="409"/>
      <c r="C21" s="393"/>
      <c r="D21" s="407">
        <f>SUM(Data!C$101:C$103)</f>
        <v>2.303</v>
      </c>
      <c r="E21" s="407">
        <f>SUM(Data!D$101:D$103)</f>
        <v>-0.931</v>
      </c>
      <c r="F21" s="408">
        <f>SUM(Data!E$101:E$103)</f>
        <v>-3.2550000000000003</v>
      </c>
      <c r="G21" s="408">
        <f>SUM(Data!F$101:F$103)</f>
        <v>1.392</v>
      </c>
      <c r="H21" s="408">
        <f>SUM(Data!G$101:G$103)</f>
        <v>1.526</v>
      </c>
      <c r="I21" s="408">
        <f>SUM(Data!H$101:H$103)</f>
        <v>1.618</v>
      </c>
      <c r="J21" s="408">
        <f>SUM(Data!I$101:I$103)</f>
        <v>1.708</v>
      </c>
      <c r="K21" s="392">
        <f aca="true" t="shared" si="10" ref="K21:T21">SUM(J$21,K$132-J$132)</f>
        <v>1.486068130851064</v>
      </c>
      <c r="L21" s="392">
        <f t="shared" si="10"/>
        <v>1.5727836697732127</v>
      </c>
      <c r="M21" s="392">
        <f t="shared" si="10"/>
        <v>1.6651998882241037</v>
      </c>
      <c r="N21" s="392">
        <f t="shared" si="10"/>
        <v>1.7636915488759561</v>
      </c>
      <c r="O21" s="392">
        <f t="shared" si="10"/>
        <v>1.8686580512990616</v>
      </c>
      <c r="P21" s="392">
        <f t="shared" si="10"/>
        <v>1.9805250515914619</v>
      </c>
      <c r="Q21" s="392">
        <f t="shared" si="10"/>
        <v>2.0997461884830844</v>
      </c>
      <c r="R21" s="392">
        <f t="shared" si="10"/>
        <v>2.3205271901223608</v>
      </c>
      <c r="S21" s="392">
        <f t="shared" si="10"/>
        <v>2.6552893685703767</v>
      </c>
      <c r="T21" s="392">
        <f t="shared" si="10"/>
        <v>3.0035036878911137</v>
      </c>
    </row>
    <row r="22" spans="1:20" ht="12.75">
      <c r="A22" s="323" t="s">
        <v>138</v>
      </c>
      <c r="B22" s="407"/>
      <c r="C22" s="393"/>
      <c r="D22" s="407">
        <f>SUM(D$18,D$21)-D$19</f>
        <v>6.510999999999989</v>
      </c>
      <c r="E22" s="407">
        <f aca="true" t="shared" si="11" ref="E22:T22">SUM(E$18,E$21)-E$19</f>
        <v>3.8909999999999982</v>
      </c>
      <c r="F22" s="408">
        <f t="shared" si="11"/>
        <v>-6.744000000000007</v>
      </c>
      <c r="G22" s="408">
        <f t="shared" si="11"/>
        <v>-7.118999999999993</v>
      </c>
      <c r="H22" s="408">
        <f t="shared" si="11"/>
        <v>-8.402000000000008</v>
      </c>
      <c r="I22" s="408">
        <f t="shared" si="11"/>
        <v>-8.204999999999998</v>
      </c>
      <c r="J22" s="408">
        <f t="shared" si="11"/>
        <v>-6.686000000000007</v>
      </c>
      <c r="K22" s="392">
        <f t="shared" si="11"/>
        <v>-5.092634425567994</v>
      </c>
      <c r="L22" s="392">
        <f t="shared" si="11"/>
        <v>-3.2719014374980446</v>
      </c>
      <c r="M22" s="392">
        <f t="shared" si="11"/>
        <v>-1.597886767399558</v>
      </c>
      <c r="N22" s="392">
        <f t="shared" si="11"/>
        <v>-0.6692426910633742</v>
      </c>
      <c r="O22" s="392">
        <f t="shared" si="11"/>
        <v>0.428894904142723</v>
      </c>
      <c r="P22" s="392">
        <f t="shared" si="11"/>
        <v>1.6537946975636686</v>
      </c>
      <c r="Q22" s="392">
        <f t="shared" si="11"/>
        <v>3.0620391471736212</v>
      </c>
      <c r="R22" s="392">
        <f t="shared" si="11"/>
        <v>4.959530997436261</v>
      </c>
      <c r="S22" s="392">
        <f t="shared" si="11"/>
        <v>6.778989065174002</v>
      </c>
      <c r="T22" s="392">
        <f t="shared" si="11"/>
        <v>8.846537647991909</v>
      </c>
    </row>
    <row r="23" spans="1:20" ht="15.75" customHeight="1">
      <c r="A23" s="404" t="s">
        <v>451</v>
      </c>
      <c r="C23" s="393"/>
      <c r="D23" s="393"/>
      <c r="E23" s="393"/>
      <c r="F23" s="393"/>
      <c r="G23" s="410"/>
      <c r="H23" s="393"/>
      <c r="I23" s="393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</row>
    <row r="24" spans="1:20" ht="12.75">
      <c r="A24" s="403" t="s">
        <v>175</v>
      </c>
      <c r="B24" s="406"/>
      <c r="C24" s="393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</row>
    <row r="25" spans="1:20" ht="12.75">
      <c r="A25" s="323" t="s">
        <v>788</v>
      </c>
      <c r="B25" s="406"/>
      <c r="C25" s="393"/>
      <c r="D25" s="407">
        <f>SUM(D$114,D$116,D$126,D$145,D$161,$D$163:D$163,D$171)</f>
        <v>180.349</v>
      </c>
      <c r="E25" s="407">
        <f>SUM(E$114,E$116,E$126,E$145,E$161,$D$163:E$163,E$171)</f>
        <v>200.835</v>
      </c>
      <c r="F25" s="408">
        <f>SUM(F$114,F$116,F$126,F$145,F$161,$D$163:F$163,F$171)</f>
        <v>219.12400000000002</v>
      </c>
      <c r="G25" s="408">
        <f>SUM(G$114,G$116,G$126,G$145,G$161,$D$163:G$163,G$171)</f>
        <v>222.23200000000003</v>
      </c>
      <c r="H25" s="408">
        <f>SUM(H$114,H$116,H$126,H$145,H$161,$D$163:H$163,H$171)</f>
        <v>228.98899999999998</v>
      </c>
      <c r="I25" s="408">
        <f>SUM(I$114,I$116,I$126,I$145,I$161,$D$163:I$163,I$171)</f>
        <v>232.62699999999998</v>
      </c>
      <c r="J25" s="408">
        <f>SUM(J$114,J$116,J$126,J$145,J$161,$D$163:J$163,J$171)</f>
        <v>238.16799999999995</v>
      </c>
      <c r="K25" s="392">
        <f>SUM(K$114,K$116,K$126,K$145,K$161,$D$163:K$163,K$171)</f>
        <v>246.70447646128832</v>
      </c>
      <c r="L25" s="392">
        <f>SUM(L$114,L$116,L$126,L$145,L$161,$D$163:L$163,L$171)</f>
        <v>255.98078756866846</v>
      </c>
      <c r="M25" s="392">
        <f>SUM(M$114,M$116,M$126,M$145,M$161,$D$163:M$163,M$171)</f>
        <v>265.69632540489147</v>
      </c>
      <c r="N25" s="392">
        <f>SUM(N$114,N$116,N$126,N$145,N$161,$D$163:N$163,N$171)</f>
        <v>274.5127735296317</v>
      </c>
      <c r="O25" s="392">
        <f>SUM(O$114,O$116,O$126,O$145,O$161,$D$163:O$163,O$171)</f>
        <v>283.67770332424925</v>
      </c>
      <c r="P25" s="392">
        <f>SUM(P$114,P$116,P$126,P$145,P$161,$D$163:P$163,P$171)</f>
        <v>293.3009715051138</v>
      </c>
      <c r="Q25" s="392">
        <f>SUM(Q$114,Q$116,Q$126,Q$145,Q$161,$D$163:Q$163,Q$171)</f>
        <v>303.405784627084</v>
      </c>
      <c r="R25" s="392">
        <f>SUM(R$114,R$116,R$126,R$145,R$161,$D$163:R$163,R$171)</f>
        <v>316.34976962998707</v>
      </c>
      <c r="S25" s="392">
        <f>SUM(S$114,S$116,S$126,S$145,S$161,$D$163:S$163,S$171)</f>
        <v>329.9314300541742</v>
      </c>
      <c r="T25" s="392">
        <f>SUM(T$114,T$116,T$126,T$145,T$161,$D$163:T$163,T$171)</f>
        <v>344.1407620547416</v>
      </c>
    </row>
    <row r="26" spans="1:20" ht="12.75">
      <c r="A26" s="323" t="s">
        <v>790</v>
      </c>
      <c r="B26" s="406"/>
      <c r="C26" s="393"/>
      <c r="D26" s="407">
        <f aca="true" t="shared" si="12" ref="D26:T26">SUM(D$192,D$191)</f>
        <v>41.897999999999996</v>
      </c>
      <c r="E26" s="407">
        <f t="shared" si="12"/>
        <v>46.11</v>
      </c>
      <c r="F26" s="408">
        <f t="shared" si="12"/>
        <v>69.156</v>
      </c>
      <c r="G26" s="408">
        <f t="shared" si="12"/>
        <v>76.423</v>
      </c>
      <c r="H26" s="408">
        <f t="shared" si="12"/>
        <v>88.65599999999999</v>
      </c>
      <c r="I26" s="408">
        <f t="shared" si="12"/>
        <v>97.42</v>
      </c>
      <c r="J26" s="408">
        <f t="shared" si="12"/>
        <v>106.621</v>
      </c>
      <c r="K26" s="392">
        <f t="shared" si="12"/>
        <v>116.85568447267775</v>
      </c>
      <c r="L26" s="392">
        <f t="shared" si="12"/>
        <v>125.64367710327117</v>
      </c>
      <c r="M26" s="392">
        <f t="shared" si="12"/>
        <v>132.99218892099515</v>
      </c>
      <c r="N26" s="392">
        <f t="shared" si="12"/>
        <v>138.68906932467885</v>
      </c>
      <c r="O26" s="392">
        <f t="shared" si="12"/>
        <v>143.48588673089608</v>
      </c>
      <c r="P26" s="392">
        <f t="shared" si="12"/>
        <v>147.3342653387748</v>
      </c>
      <c r="Q26" s="392">
        <f t="shared" si="12"/>
        <v>150.0774694587537</v>
      </c>
      <c r="R26" s="392">
        <f t="shared" si="12"/>
        <v>153.58539621752635</v>
      </c>
      <c r="S26" s="392">
        <f t="shared" si="12"/>
        <v>155.70875268379172</v>
      </c>
      <c r="T26" s="392">
        <f t="shared" si="12"/>
        <v>156.20784361702215</v>
      </c>
    </row>
    <row r="27" spans="1:20" ht="12.75">
      <c r="A27" s="323" t="s">
        <v>781</v>
      </c>
      <c r="B27" s="406"/>
      <c r="C27" s="393"/>
      <c r="D27" s="407">
        <f aca="true" t="shared" si="13" ref="D27:T27">D$188</f>
        <v>41.624</v>
      </c>
      <c r="E27" s="407">
        <f t="shared" si="13"/>
        <v>49.211</v>
      </c>
      <c r="F27" s="408">
        <f t="shared" si="13"/>
        <v>54.27</v>
      </c>
      <c r="G27" s="408">
        <f t="shared" si="13"/>
        <v>55.86</v>
      </c>
      <c r="H27" s="408">
        <f t="shared" si="13"/>
        <v>57.521</v>
      </c>
      <c r="I27" s="408">
        <f t="shared" si="13"/>
        <v>59.513000000000005</v>
      </c>
      <c r="J27" s="408">
        <f t="shared" si="13"/>
        <v>61.654999999999994</v>
      </c>
      <c r="K27" s="392">
        <f t="shared" si="13"/>
        <v>63.61888762219865</v>
      </c>
      <c r="L27" s="392">
        <f t="shared" si="13"/>
        <v>65.7238758997592</v>
      </c>
      <c r="M27" s="392">
        <f t="shared" si="13"/>
        <v>67.82445390955118</v>
      </c>
      <c r="N27" s="392">
        <f t="shared" si="13"/>
        <v>69.63109079645582</v>
      </c>
      <c r="O27" s="392">
        <f t="shared" si="13"/>
        <v>71.45673271996861</v>
      </c>
      <c r="P27" s="392">
        <f t="shared" si="13"/>
        <v>73.33430169507035</v>
      </c>
      <c r="Q27" s="392">
        <f t="shared" si="13"/>
        <v>75.26644866235124</v>
      </c>
      <c r="R27" s="392">
        <f t="shared" si="13"/>
        <v>77.25477018969052</v>
      </c>
      <c r="S27" s="392">
        <f t="shared" si="13"/>
        <v>79.3197383184367</v>
      </c>
      <c r="T27" s="392">
        <f t="shared" si="13"/>
        <v>81.4616014728871</v>
      </c>
    </row>
    <row r="28" spans="1:20" ht="12.75">
      <c r="A28" s="323" t="s">
        <v>356</v>
      </c>
      <c r="B28" s="406"/>
      <c r="C28" s="393"/>
      <c r="D28" s="407">
        <f aca="true" t="shared" si="14" ref="D28:T28">D$25-SUM(D$26,D$27)</f>
        <v>96.827</v>
      </c>
      <c r="E28" s="407">
        <f t="shared" si="14"/>
        <v>105.51400000000001</v>
      </c>
      <c r="F28" s="408">
        <f t="shared" si="14"/>
        <v>95.69800000000001</v>
      </c>
      <c r="G28" s="408">
        <f t="shared" si="14"/>
        <v>89.94900000000001</v>
      </c>
      <c r="H28" s="408">
        <f t="shared" si="14"/>
        <v>82.81199999999998</v>
      </c>
      <c r="I28" s="408">
        <f t="shared" si="14"/>
        <v>75.69399999999999</v>
      </c>
      <c r="J28" s="408">
        <f t="shared" si="14"/>
        <v>69.89199999999997</v>
      </c>
      <c r="K28" s="392">
        <f t="shared" si="14"/>
        <v>66.22990436641192</v>
      </c>
      <c r="L28" s="392">
        <f t="shared" si="14"/>
        <v>64.6132345656381</v>
      </c>
      <c r="M28" s="392">
        <f t="shared" si="14"/>
        <v>64.87968257434514</v>
      </c>
      <c r="N28" s="392">
        <f t="shared" si="14"/>
        <v>66.19261340849704</v>
      </c>
      <c r="O28" s="392">
        <f t="shared" si="14"/>
        <v>68.73508387338455</v>
      </c>
      <c r="P28" s="392">
        <f t="shared" si="14"/>
        <v>72.63240447126867</v>
      </c>
      <c r="Q28" s="392">
        <f t="shared" si="14"/>
        <v>78.06186650597908</v>
      </c>
      <c r="R28" s="392">
        <f t="shared" si="14"/>
        <v>85.50960322277018</v>
      </c>
      <c r="S28" s="392">
        <f t="shared" si="14"/>
        <v>94.9029390519458</v>
      </c>
      <c r="T28" s="392">
        <f t="shared" si="14"/>
        <v>106.47131696483234</v>
      </c>
    </row>
    <row r="29" spans="1:20" ht="12.75">
      <c r="A29" s="403" t="s">
        <v>177</v>
      </c>
      <c r="B29" s="406"/>
      <c r="C29" s="39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</row>
    <row r="30" spans="1:20" ht="12.75">
      <c r="A30" s="323" t="s">
        <v>788</v>
      </c>
      <c r="B30" s="406"/>
      <c r="C30" s="393"/>
      <c r="D30" s="407">
        <f>SUM(D$113,D$115,D$123,D$144,D$159,$D$163:D$163,D$170)</f>
        <v>105.213</v>
      </c>
      <c r="E30" s="407">
        <f>SUM(E$113,E$115,E$123,E$144,E$159,$D$163:E$163,E$170)</f>
        <v>116.18199999999999</v>
      </c>
      <c r="F30" s="408">
        <f>SUM(F$113,F$115,F$123,F$144,F$159,$D$163:F$163,F$170)</f>
        <v>131.812</v>
      </c>
      <c r="G30" s="408">
        <f>SUM(G$113,G$115,G$123,G$144,G$159,$D$163:G$163,G$170)</f>
        <v>131.66199999999998</v>
      </c>
      <c r="H30" s="408">
        <f>SUM(H$113,H$115,H$123,H$144,H$159,$D$163:H$163,H$170)</f>
        <v>134.696</v>
      </c>
      <c r="I30" s="408">
        <f>SUM(I$113,I$115,I$123,I$144,I$159,$D$163:I$163,I$170)</f>
        <v>135.06900000000002</v>
      </c>
      <c r="J30" s="408">
        <f>SUM(J$113,J$115,J$123,J$144,J$159,$D$163:J$163,J$170)</f>
        <v>136.449</v>
      </c>
      <c r="K30" s="392">
        <f>SUM(K$113,K$115,K$123,K$144,K$159,$D$163:K$163,K$170)</f>
        <v>141.16892499383073</v>
      </c>
      <c r="L30" s="392">
        <f>SUM(L$113,L$115,L$123,L$144,L$159,$D$163:L$163,L$170)</f>
        <v>146.03134500955338</v>
      </c>
      <c r="M30" s="392">
        <f>SUM(M$113,M$115,M$123,M$144,M$159,$D$163:M$163,M$170)</f>
        <v>150.97314173379291</v>
      </c>
      <c r="N30" s="392">
        <f>SUM(N$113,N$115,N$123,N$144,N$159,$D$163:N$163,N$170)</f>
        <v>155.31252697521285</v>
      </c>
      <c r="O30" s="392">
        <f>SUM(O$113,O$115,O$123,O$144,O$159,$D$163:O$163,O$170)</f>
        <v>159.77485118698087</v>
      </c>
      <c r="P30" s="392">
        <f>SUM(P$113,P$115,P$123,P$144,P$159,$D$163:P$163,P$170)</f>
        <v>164.37386259869393</v>
      </c>
      <c r="Q30" s="392">
        <f>SUM(Q$113,Q$115,Q$123,Q$144,Q$159,$D$163:Q$163,Q$170)</f>
        <v>169.11860701232342</v>
      </c>
      <c r="R30" s="392">
        <f>SUM(R$113,R$115,R$123,R$144,R$159,$D$163:R$163,R$170)</f>
        <v>176.54383826529167</v>
      </c>
      <c r="S30" s="392">
        <f>SUM(S$113,S$115,S$123,S$144,S$159,$D$163:S$163,S$170)</f>
        <v>184.20869675403816</v>
      </c>
      <c r="T30" s="392">
        <f>SUM(T$113,T$115,T$123,T$144,T$159,$D$163:T$163,T$170)</f>
        <v>192.11990365364562</v>
      </c>
    </row>
    <row r="31" spans="1:20" ht="12.75">
      <c r="A31" s="323" t="s">
        <v>782</v>
      </c>
      <c r="B31" s="411"/>
      <c r="C31" s="393"/>
      <c r="D31" s="407">
        <f aca="true" t="shared" si="15" ref="D31:T31">D$194</f>
        <v>35.892</v>
      </c>
      <c r="E31" s="407">
        <f t="shared" si="15"/>
        <v>37.336</v>
      </c>
      <c r="F31" s="408">
        <f t="shared" si="15"/>
        <v>57.329</v>
      </c>
      <c r="G31" s="408">
        <f t="shared" si="15"/>
        <v>64.116</v>
      </c>
      <c r="H31" s="408">
        <f t="shared" si="15"/>
        <v>75.57</v>
      </c>
      <c r="I31" s="408">
        <f t="shared" si="15"/>
        <v>83.801</v>
      </c>
      <c r="J31" s="408">
        <f t="shared" si="15"/>
        <v>91.614</v>
      </c>
      <c r="K31" s="392">
        <f t="shared" si="15"/>
        <v>101.33249154627794</v>
      </c>
      <c r="L31" s="392">
        <f t="shared" si="15"/>
        <v>109.37163092212982</v>
      </c>
      <c r="M31" s="392">
        <f t="shared" si="15"/>
        <v>115.83557722057469</v>
      </c>
      <c r="N31" s="392">
        <f t="shared" si="15"/>
        <v>120.75554061410172</v>
      </c>
      <c r="O31" s="392">
        <f t="shared" si="15"/>
        <v>124.69117612905059</v>
      </c>
      <c r="P31" s="392">
        <f t="shared" si="15"/>
        <v>127.5480402453252</v>
      </c>
      <c r="Q31" s="392">
        <f t="shared" si="15"/>
        <v>129.1528018455192</v>
      </c>
      <c r="R31" s="392">
        <f t="shared" si="15"/>
        <v>131.54358280524986</v>
      </c>
      <c r="S31" s="392">
        <f t="shared" si="15"/>
        <v>132.36254302959907</v>
      </c>
      <c r="T31" s="392">
        <f t="shared" si="15"/>
        <v>131.35759952427327</v>
      </c>
    </row>
    <row r="32" spans="1:20" ht="12.75">
      <c r="A32" s="323" t="s">
        <v>783</v>
      </c>
      <c r="B32" s="411"/>
      <c r="C32" s="393"/>
      <c r="D32" s="407">
        <f aca="true" t="shared" si="16" ref="D32:T32">D$185</f>
        <v>18.530999999999995</v>
      </c>
      <c r="E32" s="407">
        <f t="shared" si="16"/>
        <v>21.863000000000003</v>
      </c>
      <c r="F32" s="408">
        <f t="shared" si="16"/>
        <v>23.878</v>
      </c>
      <c r="G32" s="408">
        <f t="shared" si="16"/>
        <v>24.06</v>
      </c>
      <c r="H32" s="408">
        <f t="shared" si="16"/>
        <v>24.042</v>
      </c>
      <c r="I32" s="408">
        <f t="shared" si="16"/>
        <v>24.388999999999992</v>
      </c>
      <c r="J32" s="408">
        <f t="shared" si="16"/>
        <v>24.641999999999996</v>
      </c>
      <c r="K32" s="392">
        <f t="shared" si="16"/>
        <v>24.73606787312077</v>
      </c>
      <c r="L32" s="392">
        <f t="shared" si="16"/>
        <v>24.83124995048957</v>
      </c>
      <c r="M32" s="392">
        <f t="shared" si="16"/>
        <v>24.906987143683807</v>
      </c>
      <c r="N32" s="392">
        <f t="shared" si="16"/>
        <v>24.995651682640087</v>
      </c>
      <c r="O32" s="392">
        <f t="shared" si="16"/>
        <v>25.09344547531652</v>
      </c>
      <c r="P32" s="392">
        <f t="shared" si="16"/>
        <v>25.18179807319133</v>
      </c>
      <c r="Q32" s="392">
        <f t="shared" si="16"/>
        <v>25.2597417394532</v>
      </c>
      <c r="R32" s="392">
        <f t="shared" si="16"/>
        <v>25.334661035254527</v>
      </c>
      <c r="S32" s="392">
        <f t="shared" si="16"/>
        <v>25.401570234477802</v>
      </c>
      <c r="T32" s="392">
        <f t="shared" si="16"/>
        <v>25.471182991419155</v>
      </c>
    </row>
    <row r="33" spans="1:20" ht="12.75">
      <c r="A33" s="323" t="s">
        <v>356</v>
      </c>
      <c r="B33" s="411"/>
      <c r="C33" s="393"/>
      <c r="D33" s="407">
        <f>D$30-SUM(D$31,D$32)</f>
        <v>50.78999999999999</v>
      </c>
      <c r="E33" s="407">
        <f aca="true" t="shared" si="17" ref="E33:T33">E$30-SUM(E$31,E$32)</f>
        <v>56.98299999999999</v>
      </c>
      <c r="F33" s="408">
        <f t="shared" si="17"/>
        <v>50.60500000000002</v>
      </c>
      <c r="G33" s="408">
        <f t="shared" si="17"/>
        <v>43.485999999999976</v>
      </c>
      <c r="H33" s="408">
        <f t="shared" si="17"/>
        <v>35.084</v>
      </c>
      <c r="I33" s="408">
        <f t="shared" si="17"/>
        <v>26.87900000000002</v>
      </c>
      <c r="J33" s="408">
        <f t="shared" si="17"/>
        <v>20.193000000000012</v>
      </c>
      <c r="K33" s="392">
        <f t="shared" si="17"/>
        <v>15.100365574432018</v>
      </c>
      <c r="L33" s="392">
        <f t="shared" si="17"/>
        <v>11.828464136933974</v>
      </c>
      <c r="M33" s="392">
        <f t="shared" si="17"/>
        <v>10.230577369534416</v>
      </c>
      <c r="N33" s="392">
        <f t="shared" si="17"/>
        <v>9.561334678471042</v>
      </c>
      <c r="O33" s="392">
        <f t="shared" si="17"/>
        <v>9.99022958261375</v>
      </c>
      <c r="P33" s="392">
        <f t="shared" si="17"/>
        <v>11.644024280177405</v>
      </c>
      <c r="Q33" s="392">
        <f t="shared" si="17"/>
        <v>14.706063427351012</v>
      </c>
      <c r="R33" s="392">
        <f t="shared" si="17"/>
        <v>19.665594424787287</v>
      </c>
      <c r="S33" s="392">
        <f t="shared" si="17"/>
        <v>26.444583489961303</v>
      </c>
      <c r="T33" s="392">
        <f t="shared" si="17"/>
        <v>35.29112113795321</v>
      </c>
    </row>
    <row r="34" spans="1:20" ht="12.75">
      <c r="A34" s="323" t="s">
        <v>227</v>
      </c>
      <c r="B34" s="411"/>
      <c r="C34" s="393"/>
      <c r="D34" s="407">
        <f aca="true" t="shared" si="18" ref="D34:T34">D$196</f>
        <v>36.805</v>
      </c>
      <c r="E34" s="407">
        <f t="shared" si="18"/>
        <v>37.745</v>
      </c>
      <c r="F34" s="408">
        <f t="shared" si="18"/>
        <v>56.801</v>
      </c>
      <c r="G34" s="408">
        <f t="shared" si="18"/>
        <v>63.557</v>
      </c>
      <c r="H34" s="408">
        <f t="shared" si="18"/>
        <v>75.011</v>
      </c>
      <c r="I34" s="408">
        <f t="shared" si="18"/>
        <v>83.241</v>
      </c>
      <c r="J34" s="408">
        <f t="shared" si="18"/>
        <v>91.053</v>
      </c>
      <c r="K34" s="392">
        <f t="shared" si="18"/>
        <v>100.73381515868644</v>
      </c>
      <c r="L34" s="392">
        <f t="shared" si="18"/>
        <v>108.73280130122659</v>
      </c>
      <c r="M34" s="392">
        <f t="shared" si="18"/>
        <v>115.15395469280178</v>
      </c>
      <c r="N34" s="392">
        <f t="shared" si="18"/>
        <v>120.02831197376153</v>
      </c>
      <c r="O34" s="392">
        <f t="shared" si="18"/>
        <v>123.91534323030294</v>
      </c>
      <c r="P34" s="392">
        <f t="shared" si="18"/>
        <v>126.7204078442224</v>
      </c>
      <c r="Q34" s="392">
        <f t="shared" si="18"/>
        <v>128.26996464277642</v>
      </c>
      <c r="R34" s="392">
        <f t="shared" si="18"/>
        <v>130.51540189470873</v>
      </c>
      <c r="S34" s="392">
        <f t="shared" si="18"/>
        <v>131.18296748358804</v>
      </c>
      <c r="T34" s="392">
        <f t="shared" si="18"/>
        <v>130.02046265697436</v>
      </c>
    </row>
    <row r="35" spans="1:20" ht="12.75">
      <c r="A35" s="323" t="s">
        <v>939</v>
      </c>
      <c r="B35" s="411"/>
      <c r="C35" s="393"/>
      <c r="D35" s="407">
        <f aca="true" t="shared" si="19" ref="D35:T35">D$196-D$197</f>
        <v>30.647</v>
      </c>
      <c r="E35" s="407">
        <f t="shared" si="19"/>
        <v>31.389999999999997</v>
      </c>
      <c r="F35" s="408">
        <f t="shared" si="19"/>
        <v>44.217</v>
      </c>
      <c r="G35" s="408">
        <f t="shared" si="19"/>
        <v>50.973</v>
      </c>
      <c r="H35" s="408">
        <f t="shared" si="19"/>
        <v>62.42699999999999</v>
      </c>
      <c r="I35" s="408">
        <f t="shared" si="19"/>
        <v>70.657</v>
      </c>
      <c r="J35" s="408">
        <f t="shared" si="19"/>
        <v>78.469</v>
      </c>
      <c r="K35" s="392">
        <f t="shared" si="19"/>
        <v>88.14981515868644</v>
      </c>
      <c r="L35" s="392">
        <f t="shared" si="19"/>
        <v>96.14880130122658</v>
      </c>
      <c r="M35" s="392">
        <f t="shared" si="19"/>
        <v>102.56995469280177</v>
      </c>
      <c r="N35" s="392">
        <f t="shared" si="19"/>
        <v>107.44431197376153</v>
      </c>
      <c r="O35" s="392">
        <f t="shared" si="19"/>
        <v>111.33134323030293</v>
      </c>
      <c r="P35" s="392">
        <f t="shared" si="19"/>
        <v>114.13640784422239</v>
      </c>
      <c r="Q35" s="392">
        <f t="shared" si="19"/>
        <v>115.68596464277641</v>
      </c>
      <c r="R35" s="392">
        <f t="shared" si="19"/>
        <v>117.93140189470873</v>
      </c>
      <c r="S35" s="392">
        <f t="shared" si="19"/>
        <v>118.59896748358804</v>
      </c>
      <c r="T35" s="392">
        <f t="shared" si="19"/>
        <v>117.43646265697436</v>
      </c>
    </row>
    <row r="36" spans="1:20" ht="12.75">
      <c r="A36" s="323" t="s">
        <v>357</v>
      </c>
      <c r="B36" s="411"/>
      <c r="C36" s="393"/>
      <c r="D36" s="407">
        <f>D$34-SUM(D$113,D$123)+D$172</f>
        <v>1.6199999999999974</v>
      </c>
      <c r="E36" s="407">
        <f>E$34-SUM(E$113,E$123)+E$172</f>
        <v>-2.676000000000002</v>
      </c>
      <c r="F36" s="408">
        <f>F$34-SUM(F$113,F$123)+F$172</f>
        <v>3.814</v>
      </c>
      <c r="G36" s="408">
        <f aca="true" t="shared" si="20" ref="G36:T36">G$34-SUM(G$113,G$123)+G$172</f>
        <v>14.061</v>
      </c>
      <c r="H36" s="408">
        <f t="shared" si="20"/>
        <v>24.933999999999997</v>
      </c>
      <c r="I36" s="408">
        <f t="shared" si="20"/>
        <v>35.178</v>
      </c>
      <c r="J36" s="408">
        <f t="shared" si="20"/>
        <v>44.022</v>
      </c>
      <c r="K36" s="392">
        <f t="shared" si="20"/>
        <v>52.02008295681354</v>
      </c>
      <c r="L36" s="392">
        <f t="shared" si="20"/>
        <v>58.22336357292507</v>
      </c>
      <c r="M36" s="392">
        <f t="shared" si="20"/>
        <v>62.7593606694225</v>
      </c>
      <c r="N36" s="392">
        <f t="shared" si="20"/>
        <v>65.65380237137757</v>
      </c>
      <c r="O36" s="392">
        <f t="shared" si="20"/>
        <v>67.46051270748016</v>
      </c>
      <c r="P36" s="392">
        <f t="shared" si="20"/>
        <v>68.07884549855541</v>
      </c>
      <c r="Q36" s="392">
        <f t="shared" si="20"/>
        <v>67.32887110703382</v>
      </c>
      <c r="R36" s="392">
        <f t="shared" si="20"/>
        <v>64.63344563602801</v>
      </c>
      <c r="S36" s="392">
        <f t="shared" si="20"/>
        <v>60.169682928187584</v>
      </c>
      <c r="T36" s="392">
        <f t="shared" si="20"/>
        <v>53.68172825905348</v>
      </c>
    </row>
    <row r="37" spans="1:20" ht="12.75">
      <c r="A37" s="323" t="s">
        <v>784</v>
      </c>
      <c r="B37" s="411"/>
      <c r="C37" s="393"/>
      <c r="D37" s="407">
        <f aca="true" t="shared" si="21" ref="D37:T37">SUM(D$36,D$139)</f>
        <v>13.195999999999998</v>
      </c>
      <c r="E37" s="407">
        <f t="shared" si="21"/>
        <v>10.257999999999997</v>
      </c>
      <c r="F37" s="408">
        <f t="shared" si="21"/>
        <v>15.482</v>
      </c>
      <c r="G37" s="408">
        <f t="shared" si="21"/>
        <v>27.319</v>
      </c>
      <c r="H37" s="408">
        <f t="shared" si="21"/>
        <v>39.759</v>
      </c>
      <c r="I37" s="408">
        <f t="shared" si="21"/>
        <v>51.91</v>
      </c>
      <c r="J37" s="408">
        <f t="shared" si="21"/>
        <v>62.634</v>
      </c>
      <c r="K37" s="392">
        <f t="shared" si="21"/>
        <v>71.88205252161355</v>
      </c>
      <c r="L37" s="392">
        <f t="shared" si="21"/>
        <v>79.41747570171502</v>
      </c>
      <c r="M37" s="392">
        <f t="shared" si="21"/>
        <v>85.3731904143591</v>
      </c>
      <c r="N37" s="392">
        <f t="shared" si="21"/>
        <v>89.7806819685463</v>
      </c>
      <c r="O37" s="392">
        <f t="shared" si="21"/>
        <v>93.19991005416676</v>
      </c>
      <c r="P37" s="392">
        <f t="shared" si="21"/>
        <v>95.53676751161319</v>
      </c>
      <c r="Q37" s="392">
        <f t="shared" si="21"/>
        <v>96.61829359803002</v>
      </c>
      <c r="R37" s="392">
        <f t="shared" si="21"/>
        <v>98.74485937398101</v>
      </c>
      <c r="S37" s="392">
        <f t="shared" si="21"/>
        <v>99.30383633702368</v>
      </c>
      <c r="T37" s="392">
        <f t="shared" si="21"/>
        <v>98.04321020944046</v>
      </c>
    </row>
    <row r="38" spans="1:19" ht="13.5">
      <c r="A38" s="402" t="s">
        <v>596</v>
      </c>
      <c r="B38" s="412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</row>
    <row r="39" spans="1:20" ht="12.75">
      <c r="A39" s="323" t="s">
        <v>699</v>
      </c>
      <c r="B39" s="409"/>
      <c r="C39" s="393"/>
      <c r="D39" s="413" t="str">
        <f>IF(ROUND(Data!C$16-D$15,3)=0,"OK","ERROR")</f>
        <v>OK</v>
      </c>
      <c r="E39" s="413" t="str">
        <f>IF(ROUND(Data!D$16-E$15,3)=0,"OK","ERROR")</f>
        <v>OK</v>
      </c>
      <c r="F39" s="414" t="str">
        <f>IF(ROUND(Data!E$16-F$15,3)=0,"OK","ERROR")</f>
        <v>OK</v>
      </c>
      <c r="G39" s="414" t="str">
        <f>IF(ROUND(Data!F$16-G$15,3)=0,"OK","ERROR")</f>
        <v>OK</v>
      </c>
      <c r="H39" s="414" t="str">
        <f>IF(ROUND(Data!G$16-H$15,3)=0,"OK","ERROR")</f>
        <v>OK</v>
      </c>
      <c r="I39" s="414" t="str">
        <f>IF(ROUND(Data!H$16-I$15,3)=0,"OK","ERROR")</f>
        <v>OK</v>
      </c>
      <c r="J39" s="414" t="str">
        <f>IF(ROUND(Data!I$16-J$15,3)=0,"OK","ERROR")</f>
        <v>OK</v>
      </c>
      <c r="T39" s="392"/>
    </row>
    <row r="40" spans="1:20" ht="12.75">
      <c r="A40" s="323" t="s">
        <v>597</v>
      </c>
      <c r="B40" s="409"/>
      <c r="C40" s="393"/>
      <c r="D40" s="413" t="str">
        <f>IF(ROUND(Data!C$104-D$22,3)=0,"OK","ERROR")</f>
        <v>OK</v>
      </c>
      <c r="E40" s="413" t="str">
        <f>IF(ROUND(Data!D$104-E$22,3)=0,"OK","ERROR")</f>
        <v>OK</v>
      </c>
      <c r="F40" s="414" t="str">
        <f>IF(ROUND(Data!E$104-F$22,3)=0,"OK","ERROR")</f>
        <v>OK</v>
      </c>
      <c r="G40" s="414" t="str">
        <f>IF(ROUND(Data!F$104-G$22,3)=0,"OK","ERROR")</f>
        <v>OK</v>
      </c>
      <c r="H40" s="414" t="str">
        <f>IF(ROUND(Data!G$104-H$22,3)=0,"OK","ERROR")</f>
        <v>OK</v>
      </c>
      <c r="I40" s="414" t="str">
        <f>IF(ROUND(Data!H$104-I$22,3)=0,"OK","ERROR")</f>
        <v>OK</v>
      </c>
      <c r="J40" s="414" t="str">
        <f>IF(ROUND(Data!I$104-J$22,3)=0,"OK","ERROR")</f>
        <v>OK</v>
      </c>
      <c r="K40" s="415"/>
      <c r="L40" s="415"/>
      <c r="M40" s="415"/>
      <c r="N40" s="415"/>
      <c r="O40" s="415"/>
      <c r="P40" s="415"/>
      <c r="Q40" s="415"/>
      <c r="R40" s="415"/>
      <c r="S40" s="415"/>
      <c r="T40" s="415"/>
    </row>
    <row r="41" spans="1:20" ht="12.75">
      <c r="A41" s="323" t="s">
        <v>598</v>
      </c>
      <c r="B41" s="409"/>
      <c r="C41" s="393"/>
      <c r="D41" s="413" t="str">
        <f>IF(ROUND(Data!C$76-D$28,3)=0,"OK","ERROR")</f>
        <v>OK</v>
      </c>
      <c r="E41" s="413" t="str">
        <f>IF(ROUND(Data!D$76-E$28,3)=0,"OK","ERROR")</f>
        <v>OK</v>
      </c>
      <c r="F41" s="414" t="str">
        <f>IF(ROUND(Data!E$76-F$28,3)=0,"OK","ERROR")</f>
        <v>OK</v>
      </c>
      <c r="G41" s="414" t="str">
        <f>IF(ROUND(Data!F$76-G$28,3)=0,"OK","ERROR")</f>
        <v>OK</v>
      </c>
      <c r="H41" s="414" t="str">
        <f>IF(ROUND(Data!G$76-H$28,3)=0,"OK","ERROR")</f>
        <v>OK</v>
      </c>
      <c r="I41" s="414" t="str">
        <f>IF(ROUND(Data!H$76-I$28,3)=0,"OK","ERROR")</f>
        <v>OK</v>
      </c>
      <c r="J41" s="414" t="str">
        <f>IF(ROUND(Data!I$76-J$28,3)=0,"OK","ERROR")</f>
        <v>OK</v>
      </c>
      <c r="K41" s="416" t="str">
        <f>IF(ROUND(K$28-J$28-K$15,3)=0,"OK","ERROR")</f>
        <v>OK</v>
      </c>
      <c r="L41" s="416" t="str">
        <f aca="true" t="shared" si="22" ref="L41:T41">IF(ROUND(L$28-K$28-L$15,3)=0,"OK","ERROR")</f>
        <v>OK</v>
      </c>
      <c r="M41" s="416" t="str">
        <f t="shared" si="22"/>
        <v>OK</v>
      </c>
      <c r="N41" s="416" t="str">
        <f t="shared" si="22"/>
        <v>OK</v>
      </c>
      <c r="O41" s="416" t="str">
        <f t="shared" si="22"/>
        <v>OK</v>
      </c>
      <c r="P41" s="416" t="str">
        <f t="shared" si="22"/>
        <v>OK</v>
      </c>
      <c r="Q41" s="416" t="str">
        <f t="shared" si="22"/>
        <v>OK</v>
      </c>
      <c r="R41" s="416" t="str">
        <f t="shared" si="22"/>
        <v>OK</v>
      </c>
      <c r="S41" s="416" t="str">
        <f t="shared" si="22"/>
        <v>OK</v>
      </c>
      <c r="T41" s="416" t="str">
        <f t="shared" si="22"/>
        <v>OK</v>
      </c>
    </row>
    <row r="42" spans="1:20" ht="12.75">
      <c r="A42" s="323" t="s">
        <v>599</v>
      </c>
      <c r="B42" s="409"/>
      <c r="C42" s="393"/>
      <c r="D42" s="413" t="str">
        <f>IF(ROUND(Data!C$117-D$33,3)=0,"OK","ERROR")</f>
        <v>OK</v>
      </c>
      <c r="E42" s="413" t="str">
        <f>IF(ROUND(Data!D$117-E$33,3)=0,"OK","ERROR")</f>
        <v>OK</v>
      </c>
      <c r="F42" s="414" t="str">
        <f>IF(ROUND(Data!E$117-F$33,3)=0,"OK","ERROR")</f>
        <v>OK</v>
      </c>
      <c r="G42" s="414" t="str">
        <f>IF(ROUND(Data!F$117-G$33,3)=0,"OK","ERROR")</f>
        <v>OK</v>
      </c>
      <c r="H42" s="414" t="str">
        <f>IF(ROUND(Data!G$117-H$33,3)=0,"OK","ERROR")</f>
        <v>OK</v>
      </c>
      <c r="I42" s="414" t="str">
        <f>IF(ROUND(Data!H$117-I$33,3)=0,"OK","ERROR")</f>
        <v>OK</v>
      </c>
      <c r="J42" s="414" t="str">
        <f>IF(ROUND(Data!I$117-J$33,3)=0,"OK","ERROR")</f>
        <v>OK</v>
      </c>
      <c r="K42" s="416" t="str">
        <f aca="true" t="shared" si="23" ref="K42:T42">IF(ROUND(K$33-J$33-K$22,3)=0,"OK","ERROR")</f>
        <v>OK</v>
      </c>
      <c r="L42" s="416" t="str">
        <f t="shared" si="23"/>
        <v>OK</v>
      </c>
      <c r="M42" s="416" t="str">
        <f t="shared" si="23"/>
        <v>OK</v>
      </c>
      <c r="N42" s="416" t="str">
        <f t="shared" si="23"/>
        <v>OK</v>
      </c>
      <c r="O42" s="416" t="str">
        <f t="shared" si="23"/>
        <v>OK</v>
      </c>
      <c r="P42" s="416" t="str">
        <f t="shared" si="23"/>
        <v>OK</v>
      </c>
      <c r="Q42" s="416" t="str">
        <f t="shared" si="23"/>
        <v>OK</v>
      </c>
      <c r="R42" s="416" t="str">
        <f t="shared" si="23"/>
        <v>OK</v>
      </c>
      <c r="S42" s="416" t="str">
        <f t="shared" si="23"/>
        <v>OK</v>
      </c>
      <c r="T42" s="416" t="str">
        <f t="shared" si="23"/>
        <v>OK</v>
      </c>
    </row>
    <row r="43" spans="1:20" ht="12.75">
      <c r="A43" s="323" t="s">
        <v>784</v>
      </c>
      <c r="B43" s="409"/>
      <c r="C43" s="393"/>
      <c r="D43" s="413" t="str">
        <f>IF(ROUND(Data!C$88-D$37,3)=0,"OK","ERROR")</f>
        <v>OK</v>
      </c>
      <c r="E43" s="413" t="str">
        <f>IF(ROUND(Data!D$88-E$37,3)=0,"OK","ERROR")</f>
        <v>OK</v>
      </c>
      <c r="F43" s="414" t="str">
        <f>IF(ROUND(Data!E$88-F$37,3)=0,"OK","ERROR")</f>
        <v>OK</v>
      </c>
      <c r="G43" s="414" t="str">
        <f>IF(ROUND(Data!F$88-G$37,3)=0,"OK","ERROR")</f>
        <v>OK</v>
      </c>
      <c r="H43" s="414" t="str">
        <f>IF(ROUND(Data!G$88-H$37,3)=0,"OK","ERROR")</f>
        <v>OK</v>
      </c>
      <c r="I43" s="414" t="str">
        <f>IF(ROUND(Data!H$88-I$37,3)=0,"OK","ERROR")</f>
        <v>OK</v>
      </c>
      <c r="J43" s="414" t="str">
        <f>IF(ROUND(Data!I$88-J$37,3)=0,"OK","ERROR")</f>
        <v>OK</v>
      </c>
      <c r="K43" s="416"/>
      <c r="L43" s="416"/>
      <c r="M43" s="416"/>
      <c r="N43" s="416"/>
      <c r="O43" s="416"/>
      <c r="P43" s="416"/>
      <c r="Q43" s="416"/>
      <c r="R43" s="416"/>
      <c r="S43" s="416"/>
      <c r="T43" s="416"/>
    </row>
    <row r="44" spans="1:20" ht="12.75">
      <c r="A44" s="403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</row>
    <row r="45" spans="1:20" ht="15.75">
      <c r="A45" s="404" t="s">
        <v>140</v>
      </c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</row>
    <row r="46" spans="1:20" ht="12.75">
      <c r="A46" s="418" t="s">
        <v>332</v>
      </c>
      <c r="C46" s="393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</row>
    <row r="47" spans="1:20" ht="12.75">
      <c r="A47" s="226" t="s">
        <v>217</v>
      </c>
      <c r="B47" s="409"/>
      <c r="C47" s="393"/>
      <c r="D47" s="407">
        <f>Data!C$120</f>
        <v>20.98</v>
      </c>
      <c r="E47" s="407">
        <f>Data!D$120</f>
        <v>23.345</v>
      </c>
      <c r="F47" s="408">
        <f>Data!E$120</f>
        <v>22.967</v>
      </c>
      <c r="G47" s="408">
        <f>Data!F$120</f>
        <v>21.699</v>
      </c>
      <c r="H47" s="408">
        <f>Data!G$120</f>
        <v>21.732</v>
      </c>
      <c r="I47" s="408">
        <f>Data!H$120</f>
        <v>22.594</v>
      </c>
      <c r="J47" s="408">
        <f>Data!I$120</f>
        <v>23.909</v>
      </c>
      <c r="K47" s="392">
        <f ca="1">J$47*(1+K$215)*(1+IF(AND(OFFSET(Scenarios!$A$21,0,$C$1)="YES",MID(OFFSET(Scenarios!$A$23,0,$C$1),6,2)&gt;=MID(K$3,4,2)),IF(OFFSET(Scenarios!$A$26,0,$C$1)="Inflation",1,OFFSET(Scenarios!$A$22,0,$C$1)),1)*K$218)*(1+IF(AND(OFFSET(Scenarios!$A$21,0,$C$1)="YES",MID(OFFSET(Scenarios!$A$23,0,$C$1),6,2)&gt;=MID(K$3,4,2)),IF(OFFSET(Scenarios!$A$26,0,$C$1)="Wage",1,OFFSET(Scenarios!$A$22,0,$C$1)),1)*K$206)</f>
        <v>25.66018507990872</v>
      </c>
      <c r="L47" s="392">
        <f ca="1">K$47*(1+L$215)*(1+IF(AND(OFFSET(Scenarios!$A$21,0,$C$1)="YES",MID(OFFSET(Scenarios!$A$23,0,$C$1),6,2)&gt;=MID(L$3,4,2)),IF(OFFSET(Scenarios!$A$26,0,$C$1)="Inflation",1,OFFSET(Scenarios!$A$22,0,$C$1)),1)*L$218)*(1+IF(AND(OFFSET(Scenarios!$A$21,0,$C$1)="YES",MID(OFFSET(Scenarios!$A$23,0,$C$1),6,2)&gt;=MID(L$3,4,2)),IF(OFFSET(Scenarios!$A$26,0,$C$1)="Wage",1,OFFSET(Scenarios!$A$22,0,$C$1)),1)*L$206)</f>
        <v>27.500646499179243</v>
      </c>
      <c r="M47" s="392">
        <f ca="1">L$47*(1+M$215)*(1+IF(AND(OFFSET(Scenarios!$A$21,0,$C$1)="YES",MID(OFFSET(Scenarios!$A$23,0,$C$1),6,2)&gt;=MID(M$3,4,2)),IF(OFFSET(Scenarios!$A$26,0,$C$1)="Inflation",1,OFFSET(Scenarios!$A$22,0,$C$1)),1)*M$218)*(1+IF(AND(OFFSET(Scenarios!$A$21,0,$C$1)="YES",MID(OFFSET(Scenarios!$A$23,0,$C$1),6,2)&gt;=MID(M$3,4,2)),IF(OFFSET(Scenarios!$A$26,0,$C$1)="Wage",1,OFFSET(Scenarios!$A$22,0,$C$1)),1)*M$206)</f>
        <v>29.391882998627054</v>
      </c>
      <c r="N47" s="392">
        <f ca="1">M$47*(1+N$215)*(1+IF(AND(OFFSET(Scenarios!$A$21,0,$C$1)="YES",MID(OFFSET(Scenarios!$A$23,0,$C$1),6,2)&gt;=MID(N$3,4,2)),IF(OFFSET(Scenarios!$A$26,0,$C$1)="Inflation",1,OFFSET(Scenarios!$A$22,0,$C$1)),1)*N$218)*(1+IF(AND(OFFSET(Scenarios!$A$21,0,$C$1)="YES",MID(OFFSET(Scenarios!$A$23,0,$C$1),6,2)&gt;=MID(N$3,4,2)),IF(OFFSET(Scenarios!$A$26,0,$C$1)="Wage",1,OFFSET(Scenarios!$A$22,0,$C$1)),1)*N$206)</f>
        <v>31.064295641824653</v>
      </c>
      <c r="O47" s="392">
        <f ca="1">N$47*(1+O$215)*(1+IF(AND(OFFSET(Scenarios!$A$21,0,$C$1)="YES",MID(OFFSET(Scenarios!$A$23,0,$C$1),6,2)&gt;=MID(O$3,4,2)),IF(OFFSET(Scenarios!$A$26,0,$C$1)="Inflation",1,OFFSET(Scenarios!$A$22,0,$C$1)),1)*O$218)*(1+IF(AND(OFFSET(Scenarios!$A$21,0,$C$1)="YES",MID(OFFSET(Scenarios!$A$23,0,$C$1),6,2)&gt;=MID(O$3,4,2)),IF(OFFSET(Scenarios!$A$26,0,$C$1)="Wage",1,OFFSET(Scenarios!$A$22,0,$C$1)),1)*O$206)</f>
        <v>32.77863855693482</v>
      </c>
      <c r="P47" s="392">
        <f ca="1">O$47*(1+P$215)*(1+IF(AND(OFFSET(Scenarios!$A$21,0,$C$1)="YES",MID(OFFSET(Scenarios!$A$23,0,$C$1),6,2)&gt;=MID(P$3,4,2)),IF(OFFSET(Scenarios!$A$26,0,$C$1)="Inflation",1,OFFSET(Scenarios!$A$22,0,$C$1)),1)*P$218)*(1+IF(AND(OFFSET(Scenarios!$A$21,0,$C$1)="YES",MID(OFFSET(Scenarios!$A$23,0,$C$1),6,2)&gt;=MID(P$3,4,2)),IF(OFFSET(Scenarios!$A$26,0,$C$1)="Wage",1,OFFSET(Scenarios!$A$22,0,$C$1)),1)*P$206)</f>
        <v>34.58004090254693</v>
      </c>
      <c r="Q47" s="392">
        <f ca="1">P$47*(1+Q$215)*(1+IF(AND(OFFSET(Scenarios!$A$21,0,$C$1)="YES",MID(OFFSET(Scenarios!$A$23,0,$C$1),6,2)&gt;=MID(Q$3,4,2)),IF(OFFSET(Scenarios!$A$26,0,$C$1)="Inflation",1,OFFSET(Scenarios!$A$22,0,$C$1)),1)*Q$218)*(1+IF(AND(OFFSET(Scenarios!$A$21,0,$C$1)="YES",MID(OFFSET(Scenarios!$A$23,0,$C$1),6,2)&gt;=MID(Q$3,4,2)),IF(OFFSET(Scenarios!$A$26,0,$C$1)="Wage",1,OFFSET(Scenarios!$A$22,0,$C$1)),1)*Q$206)</f>
        <v>36.47406076284251</v>
      </c>
      <c r="R47" s="392">
        <f ca="1">Q$47*(1+R$215)*(1+IF(AND(OFFSET(Scenarios!$A$21,0,$C$1)="YES",MID(OFFSET(Scenarios!$A$23,0,$C$1),6,2)&gt;=MID(R$3,4,2)),IF(OFFSET(Scenarios!$A$26,0,$C$1)="Inflation",1,OFFSET(Scenarios!$A$22,0,$C$1)),1)*R$218)*(1+IF(AND(OFFSET(Scenarios!$A$21,0,$C$1)="YES",MID(OFFSET(Scenarios!$A$23,0,$C$1),6,2)&gt;=MID(R$3,4,2)),IF(OFFSET(Scenarios!$A$26,0,$C$1)="Wage",1,OFFSET(Scenarios!$A$22,0,$C$1)),1)*R$206)</f>
        <v>38.45816163132814</v>
      </c>
      <c r="S47" s="392">
        <f ca="1">R$47*(1+S$215)*(1+IF(AND(OFFSET(Scenarios!$A$21,0,$C$1)="YES",MID(OFFSET(Scenarios!$A$23,0,$C$1),6,2)&gt;=MID(S$3,4,2)),IF(OFFSET(Scenarios!$A$26,0,$C$1)="Inflation",1,OFFSET(Scenarios!$A$22,0,$C$1)),1)*S$218)*(1+IF(AND(OFFSET(Scenarios!$A$21,0,$C$1)="YES",MID(OFFSET(Scenarios!$A$23,0,$C$1),6,2)&gt;=MID(S$3,4,2)),IF(OFFSET(Scenarios!$A$26,0,$C$1)="Wage",1,OFFSET(Scenarios!$A$22,0,$C$1)),1)*S$206)</f>
        <v>40.55750743025145</v>
      </c>
      <c r="T47" s="392">
        <f ca="1">S$47*(1+T$215)*(1+IF(AND(OFFSET(Scenarios!$A$21,0,$C$1)="YES",MID(OFFSET(Scenarios!$A$23,0,$C$1),6,2)&gt;=MID(T$3,4,2)),IF(OFFSET(Scenarios!$A$26,0,$C$1)="Inflation",1,OFFSET(Scenarios!$A$22,0,$C$1)),1)*T$218)*(1+IF(AND(OFFSET(Scenarios!$A$21,0,$C$1)="YES",MID(OFFSET(Scenarios!$A$23,0,$C$1),6,2)&gt;=MID(T$3,4,2)),IF(OFFSET(Scenarios!$A$26,0,$C$1)="Wage",1,OFFSET(Scenarios!$A$22,0,$C$1)),1)*T$206)</f>
        <v>42.76595429632966</v>
      </c>
    </row>
    <row r="48" spans="1:20" ht="12.75">
      <c r="A48" s="226" t="s">
        <v>390</v>
      </c>
      <c r="B48" s="409"/>
      <c r="C48" s="393"/>
      <c r="D48" s="407">
        <f>Data!C$124</f>
        <v>9.891</v>
      </c>
      <c r="E48" s="407">
        <f>Data!D$124</f>
        <v>10.122</v>
      </c>
      <c r="F48" s="408">
        <f>Data!E$124</f>
        <v>7.893</v>
      </c>
      <c r="G48" s="408">
        <f>Data!F$124</f>
        <v>7.852</v>
      </c>
      <c r="H48" s="408">
        <f>Data!G$124</f>
        <v>8.528</v>
      </c>
      <c r="I48" s="408">
        <f>Data!H$124</f>
        <v>9.483</v>
      </c>
      <c r="J48" s="408">
        <f>Data!I$124</f>
        <v>10.572</v>
      </c>
      <c r="K48" s="392">
        <f ca="1">IF(OFFSET(Scenarios!$A$44,0,$C$1)="Yes",IF(J$48/J$203&lt;OFFSET(Scenarios!$A$49,0,$C$1),MIN(J$48/J$203+OFFSET(Scenarios!$A$48,0,$C$1),OFFSET(Scenarios!$A$49,0,$C$1)),MAX(J$48/J$203-OFFSET(Scenarios!$A$48,0,$C$1),OFFSET(Scenarios!$A$49,0,$C$1)))*K$203,J$48*(1+K$204))</f>
        <v>11.35630901251434</v>
      </c>
      <c r="L48" s="392">
        <f ca="1">IF(OFFSET(Scenarios!$A$44,0,$C$1)="Yes",IF(K$48/K$203&lt;OFFSET(Scenarios!$A$49,0,$C$1),MIN(K$48/K$203+OFFSET(Scenarios!$A$48,0,$C$1),OFFSET(Scenarios!$A$49,0,$C$1)),MAX(K$48/K$203-OFFSET(Scenarios!$A$48,0,$C$1),OFFSET(Scenarios!$A$49,0,$C$1)))*L$203,K$48*(1+L$204))</f>
        <v>12.025675688010333</v>
      </c>
      <c r="M48" s="392">
        <f ca="1">IF(OFFSET(Scenarios!$A$44,0,$C$1)="Yes",IF(L$48/L$203&lt;OFFSET(Scenarios!$A$49,0,$C$1),MIN(L$48/L$203+OFFSET(Scenarios!$A$48,0,$C$1),OFFSET(Scenarios!$A$49,0,$C$1)),MAX(L$48/L$203-OFFSET(Scenarios!$A$48,0,$C$1),OFFSET(Scenarios!$A$49,0,$C$1)))*M$203,L$48*(1+M$204))</f>
        <v>12.69939878410766</v>
      </c>
      <c r="N48" s="392">
        <f ca="1">IF(OFFSET(Scenarios!$A$44,0,$C$1)="Yes",IF(M$48/M$203&lt;OFFSET(Scenarios!$A$49,0,$C$1),MIN(M$48/M$203+OFFSET(Scenarios!$A$48,0,$C$1),OFFSET(Scenarios!$A$49,0,$C$1)),MAX(M$48/M$203-OFFSET(Scenarios!$A$48,0,$C$1),OFFSET(Scenarios!$A$49,0,$C$1)))*N$203,M$48*(1+N$204))</f>
        <v>13.261920758840114</v>
      </c>
      <c r="O48" s="392">
        <f ca="1">IF(OFFSET(Scenarios!$A$44,0,$C$1)="Yes",IF(N$48/N$203&lt;OFFSET(Scenarios!$A$49,0,$C$1),MIN(N$48/N$203+OFFSET(Scenarios!$A$48,0,$C$1),OFFSET(Scenarios!$A$49,0,$C$1)),MAX(N$48/N$203-OFFSET(Scenarios!$A$48,0,$C$1),OFFSET(Scenarios!$A$49,0,$C$1)))*O$203,N$48*(1+O$204))</f>
        <v>13.826905550264868</v>
      </c>
      <c r="P48" s="392">
        <f ca="1">IF(OFFSET(Scenarios!$A$44,0,$C$1)="Yes",IF(O$48/O$203&lt;OFFSET(Scenarios!$A$49,0,$C$1),MIN(O$48/O$203+OFFSET(Scenarios!$A$48,0,$C$1),OFFSET(Scenarios!$A$49,0,$C$1)),MAX(O$48/O$203-OFFSET(Scenarios!$A$48,0,$C$1),OFFSET(Scenarios!$A$49,0,$C$1)))*P$203,O$48*(1+P$204))</f>
        <v>14.412813084459472</v>
      </c>
      <c r="Q48" s="392">
        <f ca="1">IF(OFFSET(Scenarios!$A$44,0,$C$1)="Yes",IF(P$48/P$203&lt;OFFSET(Scenarios!$A$49,0,$C$1),MIN(P$48/P$203+OFFSET(Scenarios!$A$48,0,$C$1),OFFSET(Scenarios!$A$49,0,$C$1)),MAX(P$48/P$203-OFFSET(Scenarios!$A$48,0,$C$1),OFFSET(Scenarios!$A$49,0,$C$1)))*Q$203,P$48*(1+Q$204))</f>
        <v>15.020920100887395</v>
      </c>
      <c r="R48" s="392">
        <f ca="1">IF(OFFSET(Scenarios!$A$44,0,$C$1)="Yes",IF(Q$48/Q$203&lt;OFFSET(Scenarios!$A$49,0,$C$1),MIN(Q$48/Q$203+OFFSET(Scenarios!$A$48,0,$C$1),OFFSET(Scenarios!$A$49,0,$C$1)),MAX(Q$48/Q$203-OFFSET(Scenarios!$A$48,0,$C$1),OFFSET(Scenarios!$A$49,0,$C$1)))*R$203,Q$48*(1+R$204))</f>
        <v>15.649126676119119</v>
      </c>
      <c r="S48" s="392">
        <f ca="1">IF(OFFSET(Scenarios!$A$44,0,$C$1)="Yes",IF(R$48/R$203&lt;OFFSET(Scenarios!$A$49,0,$C$1),MIN(R$48/R$203+OFFSET(Scenarios!$A$48,0,$C$1),OFFSET(Scenarios!$A$49,0,$C$1)),MAX(R$48/R$203-OFFSET(Scenarios!$A$48,0,$C$1),OFFSET(Scenarios!$A$49,0,$C$1)))*S$203,R$48*(1+S$204))</f>
        <v>16.306547096182857</v>
      </c>
      <c r="T48" s="392">
        <f ca="1">IF(OFFSET(Scenarios!$A$44,0,$C$1)="Yes",IF(S$48/S$203&lt;OFFSET(Scenarios!$A$49,0,$C$1),MIN(S$48/S$203+OFFSET(Scenarios!$A$48,0,$C$1),OFFSET(Scenarios!$A$49,0,$C$1)),MAX(S$48/S$203-OFFSET(Scenarios!$A$48,0,$C$1),OFFSET(Scenarios!$A$49,0,$C$1)))*T$203,S$48*(1+T$204))</f>
        <v>16.989401784752495</v>
      </c>
    </row>
    <row r="49" spans="1:20" ht="12.75">
      <c r="A49" s="226" t="s">
        <v>287</v>
      </c>
      <c r="B49" s="409"/>
      <c r="C49" s="393"/>
      <c r="D49" s="419">
        <f>SUM(Data!C$121:C$123,Data!C$125:C$127)</f>
        <v>22.193</v>
      </c>
      <c r="E49" s="419">
        <f>SUM(Data!D$121:D$123,Data!D$125:D$127)</f>
        <v>22.905</v>
      </c>
      <c r="F49" s="420">
        <f>SUM(Data!E$121:E$123,Data!E$125:E$127)</f>
        <v>22.663</v>
      </c>
      <c r="G49" s="420">
        <f>SUM(Data!F$121:F$123,Data!F$125:F$127)</f>
        <v>21.501</v>
      </c>
      <c r="H49" s="420">
        <f>SUM(Data!G$121:G$123,Data!G$125:G$127)</f>
        <v>21.066000000000003</v>
      </c>
      <c r="I49" s="420">
        <f>SUM(Data!H$121:H$123,Data!H$125:H$127)</f>
        <v>21.936</v>
      </c>
      <c r="J49" s="420">
        <f>SUM(Data!I$121:I$123,Data!I$125:I$127)</f>
        <v>23.3</v>
      </c>
      <c r="K49" s="421">
        <f ca="1">IF(OFFSET(Scenarios!$A$45,0,$C$1)="Yes",IF(J$49/J$203&lt;OFFSET(Scenarios!$A$50,0,$C$1),MIN(J$49/J$203+OFFSET(Scenarios!$A$48,0,$C$1),OFFSET(Scenarios!$A$50,0,$C$1)),MAX(J$49/J$203-OFFSET(Scenarios!$A$48,0,$C$1),OFFSET(Scenarios!$A$50,0,$C$1)))*K$203,J$49*(1+K$204))</f>
        <v>25.079838346759303</v>
      </c>
      <c r="L49" s="421">
        <f ca="1">IF(OFFSET(Scenarios!$A$45,0,$C$1)="Yes",IF(K$49/K$203&lt;OFFSET(Scenarios!$A$50,0,$C$1),MIN(K$49/K$203+OFFSET(Scenarios!$A$48,0,$C$1),OFFSET(Scenarios!$A$50,0,$C$1)),MAX(K$49/K$203-OFFSET(Scenarios!$A$48,0,$C$1),OFFSET(Scenarios!$A$50,0,$C$1)))*L$203,K$49*(1+L$204))</f>
        <v>27.01190012873341</v>
      </c>
      <c r="M49" s="421">
        <f ca="1">IF(OFFSET(Scenarios!$A$45,0,$C$1)="Yes",IF(L$49/L$203&lt;OFFSET(Scenarios!$A$50,0,$C$1),MIN(L$49/L$203+OFFSET(Scenarios!$A$48,0,$C$1),OFFSET(Scenarios!$A$50,0,$C$1)),MAX(L$49/L$203-OFFSET(Scenarios!$A$48,0,$C$1),OFFSET(Scenarios!$A$50,0,$C$1)))*M$203,L$49*(1+M$204))</f>
        <v>28.753355737602245</v>
      </c>
      <c r="N49" s="421">
        <f ca="1">IF(OFFSET(Scenarios!$A$45,0,$C$1)="Yes",IF(M$49/M$203&lt;OFFSET(Scenarios!$A$50,0,$C$1),MIN(M$49/M$203+OFFSET(Scenarios!$A$48,0,$C$1),OFFSET(Scenarios!$A$50,0,$C$1)),MAX(M$49/M$203-OFFSET(Scenarios!$A$48,0,$C$1),OFFSET(Scenarios!$A$50,0,$C$1)))*N$203,M$49*(1+N$204))</f>
        <v>30.026990397373844</v>
      </c>
      <c r="O49" s="421">
        <f ca="1">IF(OFFSET(Scenarios!$A$45,0,$C$1)="Yes",IF(N$49/N$203&lt;OFFSET(Scenarios!$A$50,0,$C$1),MIN(N$49/N$203+OFFSET(Scenarios!$A$48,0,$C$1),OFFSET(Scenarios!$A$50,0,$C$1)),MAX(N$49/N$203-OFFSET(Scenarios!$A$48,0,$C$1),OFFSET(Scenarios!$A$50,0,$C$1)))*O$203,N$49*(1+O$204))</f>
        <v>31.306201245882722</v>
      </c>
      <c r="P49" s="421">
        <f ca="1">IF(OFFSET(Scenarios!$A$45,0,$C$1)="Yes",IF(O$49/O$203&lt;OFFSET(Scenarios!$A$50,0,$C$1),MIN(O$49/O$203+OFFSET(Scenarios!$A$48,0,$C$1),OFFSET(Scenarios!$A$50,0,$C$1)),MAX(O$49/O$203-OFFSET(Scenarios!$A$48,0,$C$1),OFFSET(Scenarios!$A$50,0,$C$1)))*P$203,O$49*(1+P$204))</f>
        <v>32.632784342172386</v>
      </c>
      <c r="Q49" s="421">
        <f ca="1">IF(OFFSET(Scenarios!$A$45,0,$C$1)="Yes",IF(P$49/P$203&lt;OFFSET(Scenarios!$A$50,0,$C$1),MIN(P$49/P$203+OFFSET(Scenarios!$A$48,0,$C$1),OFFSET(Scenarios!$A$50,0,$C$1)),MAX(P$49/P$203-OFFSET(Scenarios!$A$48,0,$C$1),OFFSET(Scenarios!$A$50,0,$C$1)))*Q$203,P$49*(1+Q$204))</f>
        <v>34.00963041710354</v>
      </c>
      <c r="R49" s="421">
        <f ca="1">IF(OFFSET(Scenarios!$A$45,0,$C$1)="Yes",IF(Q$49/Q$203&lt;OFFSET(Scenarios!$A$50,0,$C$1),MIN(Q$49/Q$203+OFFSET(Scenarios!$A$48,0,$C$1),OFFSET(Scenarios!$A$50,0,$C$1)),MAX(Q$49/Q$203-OFFSET(Scenarios!$A$48,0,$C$1),OFFSET(Scenarios!$A$50,0,$C$1)))*R$203,Q$49*(1+R$204))</f>
        <v>35.43198492706215</v>
      </c>
      <c r="S49" s="421">
        <f ca="1">IF(OFFSET(Scenarios!$A$45,0,$C$1)="Yes",IF(R$49/R$203&lt;OFFSET(Scenarios!$A$50,0,$C$1),MIN(R$49/R$203+OFFSET(Scenarios!$A$48,0,$C$1),OFFSET(Scenarios!$A$50,0,$C$1)),MAX(R$49/R$203-OFFSET(Scenarios!$A$48,0,$C$1),OFFSET(Scenarios!$A$50,0,$C$1)))*S$203,R$49*(1+S$204))</f>
        <v>36.92048399135741</v>
      </c>
      <c r="T49" s="421">
        <f ca="1">IF(OFFSET(Scenarios!$A$45,0,$C$1)="Yes",IF(S$49/S$203&lt;OFFSET(Scenarios!$A$50,0,$C$1),MIN(S$49/S$203+OFFSET(Scenarios!$A$48,0,$C$1),OFFSET(Scenarios!$A$50,0,$C$1)),MAX(S$49/S$203-OFFSET(Scenarios!$A$48,0,$C$1),OFFSET(Scenarios!$A$50,0,$C$1)))*T$203,S$49*(1+T$204))</f>
        <v>38.46657007868489</v>
      </c>
    </row>
    <row r="50" spans="1:20" ht="12.75">
      <c r="A50" s="403" t="s">
        <v>288</v>
      </c>
      <c r="C50" s="393"/>
      <c r="D50" s="417">
        <f aca="true" t="shared" si="24" ref="D50:T50">SUM(D$47:D$49)</f>
        <v>53.06400000000001</v>
      </c>
      <c r="E50" s="417">
        <f t="shared" si="24"/>
        <v>56.372</v>
      </c>
      <c r="F50" s="422">
        <f t="shared" si="24"/>
        <v>53.522999999999996</v>
      </c>
      <c r="G50" s="422">
        <f t="shared" si="24"/>
        <v>51.05200000000001</v>
      </c>
      <c r="H50" s="422">
        <f t="shared" si="24"/>
        <v>51.326</v>
      </c>
      <c r="I50" s="422">
        <f t="shared" si="24"/>
        <v>54.013</v>
      </c>
      <c r="J50" s="422">
        <f t="shared" si="24"/>
        <v>57.78099999999999</v>
      </c>
      <c r="K50" s="423">
        <f t="shared" si="24"/>
        <v>62.09633243918236</v>
      </c>
      <c r="L50" s="423">
        <f t="shared" si="24"/>
        <v>66.53822231592298</v>
      </c>
      <c r="M50" s="423">
        <f t="shared" si="24"/>
        <v>70.84463752033696</v>
      </c>
      <c r="N50" s="423">
        <f t="shared" si="24"/>
        <v>74.35320679803861</v>
      </c>
      <c r="O50" s="423">
        <f t="shared" si="24"/>
        <v>77.91174535308241</v>
      </c>
      <c r="P50" s="423">
        <f t="shared" si="24"/>
        <v>81.6256383291788</v>
      </c>
      <c r="Q50" s="423">
        <f t="shared" si="24"/>
        <v>85.50461128083344</v>
      </c>
      <c r="R50" s="423">
        <f t="shared" si="24"/>
        <v>89.53927323450941</v>
      </c>
      <c r="S50" s="423">
        <f t="shared" si="24"/>
        <v>93.7845385177917</v>
      </c>
      <c r="T50" s="423">
        <f t="shared" si="24"/>
        <v>98.22192615976704</v>
      </c>
    </row>
    <row r="51" spans="1:20" ht="12.75">
      <c r="A51" s="227" t="s">
        <v>600</v>
      </c>
      <c r="C51" s="393"/>
      <c r="D51" s="419">
        <f aca="true" t="shared" si="25" ref="D51:J51">D$52-D$50</f>
        <v>0.4129999999999896</v>
      </c>
      <c r="E51" s="419">
        <f t="shared" si="25"/>
        <v>0.375</v>
      </c>
      <c r="F51" s="420">
        <f t="shared" si="25"/>
        <v>0.5300000000000011</v>
      </c>
      <c r="G51" s="420">
        <f t="shared" si="25"/>
        <v>0.5279999999999916</v>
      </c>
      <c r="H51" s="420">
        <f t="shared" si="25"/>
        <v>0.5180000000000007</v>
      </c>
      <c r="I51" s="420">
        <f t="shared" si="25"/>
        <v>0.578000000000003</v>
      </c>
      <c r="J51" s="420">
        <f t="shared" si="25"/>
        <v>0.6250000000000071</v>
      </c>
      <c r="K51" s="421">
        <f aca="true" t="shared" si="26" ref="K51:T51">J$51*(1+K$204)</f>
        <v>0.661247274249549</v>
      </c>
      <c r="L51" s="421">
        <f t="shared" si="26"/>
        <v>0.700222692156675</v>
      </c>
      <c r="M51" s="421">
        <f t="shared" si="26"/>
        <v>0.739451772697051</v>
      </c>
      <c r="N51" s="421">
        <f t="shared" si="26"/>
        <v>0.7722059115715227</v>
      </c>
      <c r="O51" s="421">
        <f t="shared" si="26"/>
        <v>0.805103453625933</v>
      </c>
      <c r="P51" s="421">
        <f t="shared" si="26"/>
        <v>0.8392192706155481</v>
      </c>
      <c r="Q51" s="421">
        <f t="shared" si="26"/>
        <v>0.8746277036391544</v>
      </c>
      <c r="R51" s="421">
        <f t="shared" si="26"/>
        <v>0.91120647981369</v>
      </c>
      <c r="S51" s="421">
        <f t="shared" si="26"/>
        <v>0.949486299456154</v>
      </c>
      <c r="T51" s="421">
        <f t="shared" si="26"/>
        <v>0.9892470880211375</v>
      </c>
    </row>
    <row r="52" spans="1:20" ht="12.75">
      <c r="A52" s="403" t="s">
        <v>395</v>
      </c>
      <c r="B52" s="409"/>
      <c r="C52" s="393"/>
      <c r="D52" s="417">
        <f>Data!C$95</f>
        <v>53.477</v>
      </c>
      <c r="E52" s="417">
        <f>Data!D$95</f>
        <v>56.747</v>
      </c>
      <c r="F52" s="422">
        <f>Data!E$95</f>
        <v>54.053</v>
      </c>
      <c r="G52" s="422">
        <f>Data!F$95</f>
        <v>51.58</v>
      </c>
      <c r="H52" s="422">
        <f>Data!G$95</f>
        <v>51.844</v>
      </c>
      <c r="I52" s="422">
        <f>Data!H$95</f>
        <v>54.591</v>
      </c>
      <c r="J52" s="422">
        <f>Data!I$95</f>
        <v>58.406</v>
      </c>
      <c r="K52" s="423">
        <f aca="true" t="shared" si="27" ref="K52:T52">SUM(K$50,K$51)</f>
        <v>62.75757971343191</v>
      </c>
      <c r="L52" s="423">
        <f t="shared" si="27"/>
        <v>67.23844500807965</v>
      </c>
      <c r="M52" s="423">
        <f t="shared" si="27"/>
        <v>71.58408929303401</v>
      </c>
      <c r="N52" s="423">
        <f t="shared" si="27"/>
        <v>75.12541270961013</v>
      </c>
      <c r="O52" s="423">
        <f t="shared" si="27"/>
        <v>78.71684880670834</v>
      </c>
      <c r="P52" s="423">
        <f t="shared" si="27"/>
        <v>82.46485759979434</v>
      </c>
      <c r="Q52" s="423">
        <f t="shared" si="27"/>
        <v>86.3792389844726</v>
      </c>
      <c r="R52" s="423">
        <f t="shared" si="27"/>
        <v>90.4504797143231</v>
      </c>
      <c r="S52" s="423">
        <f t="shared" si="27"/>
        <v>94.73402481724786</v>
      </c>
      <c r="T52" s="423">
        <f t="shared" si="27"/>
        <v>99.21117324778817</v>
      </c>
    </row>
    <row r="53" spans="1:19" ht="12.75">
      <c r="A53" s="40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</row>
    <row r="54" spans="1:19" ht="12.75">
      <c r="A54" s="418" t="s">
        <v>601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</row>
    <row r="55" spans="1:20" ht="12.75">
      <c r="A55" s="226" t="s">
        <v>753</v>
      </c>
      <c r="C55" s="393"/>
      <c r="D55" s="407">
        <f>D$177</f>
        <v>0</v>
      </c>
      <c r="E55" s="407">
        <f aca="true" t="shared" si="28" ref="E55:T55">E$177</f>
        <v>0</v>
      </c>
      <c r="F55" s="408">
        <f t="shared" si="28"/>
        <v>0</v>
      </c>
      <c r="G55" s="408">
        <f t="shared" si="28"/>
        <v>0.321</v>
      </c>
      <c r="H55" s="408">
        <f t="shared" si="28"/>
        <v>0.72</v>
      </c>
      <c r="I55" s="408">
        <f t="shared" si="28"/>
        <v>0.902</v>
      </c>
      <c r="J55" s="408">
        <f t="shared" si="28"/>
        <v>1.377</v>
      </c>
      <c r="K55" s="392">
        <f t="shared" si="28"/>
        <v>1.35</v>
      </c>
      <c r="L55" s="392">
        <f t="shared" si="28"/>
        <v>1.35</v>
      </c>
      <c r="M55" s="392">
        <f t="shared" si="28"/>
        <v>1.35</v>
      </c>
      <c r="N55" s="392">
        <f t="shared" si="28"/>
        <v>1.35</v>
      </c>
      <c r="O55" s="392">
        <f t="shared" si="28"/>
        <v>1.35</v>
      </c>
      <c r="P55" s="392">
        <f t="shared" si="28"/>
        <v>1.2479166666666666</v>
      </c>
      <c r="Q55" s="392">
        <f t="shared" si="28"/>
        <v>1.1458333333333335</v>
      </c>
      <c r="R55" s="392">
        <f t="shared" si="28"/>
        <v>1.04375</v>
      </c>
      <c r="S55" s="392">
        <f t="shared" si="28"/>
        <v>0.9416666666666667</v>
      </c>
      <c r="T55" s="392">
        <f t="shared" si="28"/>
        <v>0.8395833333333333</v>
      </c>
    </row>
    <row r="56" spans="1:20" ht="12.75">
      <c r="A56" s="226" t="s">
        <v>754</v>
      </c>
      <c r="B56" s="409"/>
      <c r="C56" s="393"/>
      <c r="D56" s="419">
        <f>SUM(Data!C$96,Data!C$97,Data!C$99)-D$55</f>
        <v>2.154</v>
      </c>
      <c r="E56" s="419">
        <f>SUM(Data!D$96,Data!D$97,Data!D$99)-E$55</f>
        <v>2.728</v>
      </c>
      <c r="F56" s="420">
        <f>SUM(Data!E$96,Data!E$97,Data!E$99)-F$55</f>
        <v>2.924</v>
      </c>
      <c r="G56" s="420">
        <f>SUM(Data!F$96,Data!F$97,Data!F$99)-G$55</f>
        <v>2.794</v>
      </c>
      <c r="H56" s="420">
        <f>SUM(Data!G$96,Data!G$97,Data!G$99)-H$55</f>
        <v>2.7890000000000006</v>
      </c>
      <c r="I56" s="420">
        <f>SUM(Data!H$96,Data!H$97,Data!H$99)-I$55</f>
        <v>2.8019999999999996</v>
      </c>
      <c r="J56" s="420">
        <f>SUM(Data!I$96,Data!I$97,Data!I$99)-J$55</f>
        <v>2.8070000000000004</v>
      </c>
      <c r="K56" s="421">
        <f aca="true" t="shared" si="29" ref="K56:T56">J$56*(1+K$206)</f>
        <v>2.860478810417573</v>
      </c>
      <c r="L56" s="421">
        <f t="shared" si="29"/>
        <v>2.9176883866259247</v>
      </c>
      <c r="M56" s="421">
        <f t="shared" si="29"/>
        <v>2.976042154358443</v>
      </c>
      <c r="N56" s="421">
        <f t="shared" si="29"/>
        <v>3.035562997445612</v>
      </c>
      <c r="O56" s="421">
        <f t="shared" si="29"/>
        <v>3.096274257394524</v>
      </c>
      <c r="P56" s="421">
        <f t="shared" si="29"/>
        <v>3.158199742542415</v>
      </c>
      <c r="Q56" s="421">
        <f t="shared" si="29"/>
        <v>3.221363737393263</v>
      </c>
      <c r="R56" s="421">
        <f t="shared" si="29"/>
        <v>3.2857910121411282</v>
      </c>
      <c r="S56" s="421">
        <f t="shared" si="29"/>
        <v>3.3515068323839508</v>
      </c>
      <c r="T56" s="421">
        <f t="shared" si="29"/>
        <v>3.4185369690316296</v>
      </c>
    </row>
    <row r="57" spans="1:20" ht="12.75">
      <c r="A57" s="403" t="s">
        <v>603</v>
      </c>
      <c r="C57" s="393"/>
      <c r="D57" s="417">
        <f>SUM(D$55:D$56)</f>
        <v>2.154</v>
      </c>
      <c r="E57" s="417">
        <f aca="true" t="shared" si="30" ref="E57:T57">SUM(E$55:E$56)</f>
        <v>2.728</v>
      </c>
      <c r="F57" s="422">
        <f t="shared" si="30"/>
        <v>2.924</v>
      </c>
      <c r="G57" s="422">
        <f t="shared" si="30"/>
        <v>3.115</v>
      </c>
      <c r="H57" s="422">
        <f t="shared" si="30"/>
        <v>3.5090000000000003</v>
      </c>
      <c r="I57" s="422">
        <f t="shared" si="30"/>
        <v>3.7039999999999997</v>
      </c>
      <c r="J57" s="422">
        <f t="shared" si="30"/>
        <v>4.184</v>
      </c>
      <c r="K57" s="423">
        <f t="shared" si="30"/>
        <v>4.210478810417573</v>
      </c>
      <c r="L57" s="423">
        <f t="shared" si="30"/>
        <v>4.267688386625925</v>
      </c>
      <c r="M57" s="423">
        <f t="shared" si="30"/>
        <v>4.3260421543584435</v>
      </c>
      <c r="N57" s="423">
        <f t="shared" si="30"/>
        <v>4.3855629974456125</v>
      </c>
      <c r="O57" s="423">
        <f t="shared" si="30"/>
        <v>4.446274257394524</v>
      </c>
      <c r="P57" s="423">
        <f t="shared" si="30"/>
        <v>4.406116409209082</v>
      </c>
      <c r="Q57" s="423">
        <f t="shared" si="30"/>
        <v>4.367197070726597</v>
      </c>
      <c r="R57" s="423">
        <f t="shared" si="30"/>
        <v>4.329541012141128</v>
      </c>
      <c r="S57" s="423">
        <f t="shared" si="30"/>
        <v>4.293173499050617</v>
      </c>
      <c r="T57" s="423">
        <f t="shared" si="30"/>
        <v>4.258120302364963</v>
      </c>
    </row>
    <row r="58" spans="1:20" ht="12.75">
      <c r="A58" s="403" t="s">
        <v>602</v>
      </c>
      <c r="B58" s="409"/>
      <c r="C58" s="393"/>
      <c r="D58" s="417">
        <f>SUM(Data!C$6,Data!C$7,Data!C$9)</f>
        <v>18.529999999999998</v>
      </c>
      <c r="E58" s="417">
        <f>SUM(Data!D$6,Data!D$7,Data!D$9)</f>
        <v>21.893</v>
      </c>
      <c r="F58" s="422">
        <f>SUM(Data!E$6,Data!E$7,Data!E$9)</f>
        <v>22.436999999999998</v>
      </c>
      <c r="G58" s="422">
        <f>SUM(Data!F$6,Data!F$7,Data!F$9)</f>
        <v>23.723</v>
      </c>
      <c r="H58" s="422">
        <f>SUM(Data!G$6,Data!G$7,Data!G$9)</f>
        <v>25.831999999999997</v>
      </c>
      <c r="I58" s="422">
        <f>SUM(Data!H$6,Data!H$7,Data!H$9)</f>
        <v>26.477</v>
      </c>
      <c r="J58" s="422">
        <f>SUM(Data!I$6,Data!I$7,Data!I$9)</f>
        <v>27.889</v>
      </c>
      <c r="K58" s="423">
        <f aca="true" t="shared" si="31" ref="K58:T58">SUM(K$57,(J$58-J$57)*(1+K$204))</f>
        <v>29.290265428154182</v>
      </c>
      <c r="L58" s="423">
        <f t="shared" si="31"/>
        <v>30.825734654743993</v>
      </c>
      <c r="M58" s="423">
        <f t="shared" si="31"/>
        <v>32.37196898921188</v>
      </c>
      <c r="N58" s="423">
        <f t="shared" si="31"/>
        <v>33.67378881153</v>
      </c>
      <c r="O58" s="423">
        <f t="shared" si="31"/>
        <v>34.982238046518574</v>
      </c>
      <c r="P58" s="423">
        <f t="shared" si="31"/>
        <v>36.23602490511524</v>
      </c>
      <c r="Q58" s="423">
        <f t="shared" si="31"/>
        <v>37.540076614352074</v>
      </c>
      <c r="R58" s="423">
        <f t="shared" si="31"/>
        <v>38.889780378514374</v>
      </c>
      <c r="S58" s="423">
        <f t="shared" si="31"/>
        <v>40.30528986482322</v>
      </c>
      <c r="T58" s="423">
        <f t="shared" si="31"/>
        <v>41.77828385683024</v>
      </c>
    </row>
    <row r="59" spans="1:19" ht="12.75">
      <c r="A59" s="424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</row>
    <row r="60" spans="1:19" ht="12.75">
      <c r="A60" s="418" t="s">
        <v>604</v>
      </c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</row>
    <row r="61" spans="1:20" ht="12.75">
      <c r="A61" s="424" t="s">
        <v>453</v>
      </c>
      <c r="B61" s="425"/>
      <c r="C61" s="425"/>
      <c r="D61" s="407">
        <f>D$131</f>
        <v>0.436</v>
      </c>
      <c r="E61" s="407">
        <f>E$131</f>
        <v>0.385</v>
      </c>
      <c r="F61" s="408">
        <f>F$131</f>
        <v>0.399</v>
      </c>
      <c r="G61" s="408">
        <f>G$131</f>
        <v>0.397</v>
      </c>
      <c r="H61" s="408">
        <f>H$131</f>
        <v>0.424</v>
      </c>
      <c r="I61" s="408">
        <f>I$131</f>
        <v>0.458</v>
      </c>
      <c r="J61" s="408">
        <f>J$131</f>
        <v>0.498</v>
      </c>
      <c r="K61" s="392">
        <f>K$131</f>
        <v>0.42627899361702126</v>
      </c>
      <c r="L61" s="392">
        <f aca="true" t="shared" si="32" ref="L61:T61">L$131</f>
        <v>0.45430257465740426</v>
      </c>
      <c r="M61" s="392">
        <f t="shared" si="32"/>
        <v>0.484168425915382</v>
      </c>
      <c r="N61" s="392">
        <f t="shared" si="32"/>
        <v>0.5159976582350592</v>
      </c>
      <c r="O61" s="392">
        <f t="shared" si="32"/>
        <v>0.549919344287432</v>
      </c>
      <c r="P61" s="392">
        <f t="shared" si="32"/>
        <v>0.5860710419808878</v>
      </c>
      <c r="Q61" s="392">
        <f t="shared" si="32"/>
        <v>0.6245993522807113</v>
      </c>
      <c r="R61" s="392">
        <f t="shared" si="32"/>
        <v>0.6959484365223462</v>
      </c>
      <c r="S61" s="392">
        <f t="shared" si="32"/>
        <v>0.8041324500636258</v>
      </c>
      <c r="T61" s="392">
        <f t="shared" si="32"/>
        <v>0.9166637485851877</v>
      </c>
    </row>
    <row r="62" spans="1:20" ht="12.75">
      <c r="A62" s="424" t="s">
        <v>454</v>
      </c>
      <c r="B62" s="425"/>
      <c r="C62" s="425"/>
      <c r="D62" s="407">
        <f>D$152</f>
        <v>0.36</v>
      </c>
      <c r="E62" s="407">
        <f aca="true" t="shared" si="33" ref="E62:T62">E$152</f>
        <v>0.407</v>
      </c>
      <c r="F62" s="408">
        <f t="shared" si="33"/>
        <v>0.48</v>
      </c>
      <c r="G62" s="408">
        <f t="shared" si="33"/>
        <v>0.516</v>
      </c>
      <c r="H62" s="408">
        <f t="shared" si="33"/>
        <v>0.557</v>
      </c>
      <c r="I62" s="408">
        <f t="shared" si="33"/>
        <v>0.597</v>
      </c>
      <c r="J62" s="408">
        <f t="shared" si="33"/>
        <v>0.635</v>
      </c>
      <c r="K62" s="392">
        <f t="shared" si="33"/>
        <v>0.6628863282675345</v>
      </c>
      <c r="L62" s="392">
        <f t="shared" si="33"/>
        <v>0.6842227774659684</v>
      </c>
      <c r="M62" s="392">
        <f t="shared" si="33"/>
        <v>0.705352019302917</v>
      </c>
      <c r="N62" s="392">
        <f t="shared" si="33"/>
        <v>0.7278629141409773</v>
      </c>
      <c r="O62" s="392">
        <f t="shared" si="33"/>
        <v>0.7517030671499223</v>
      </c>
      <c r="P62" s="392">
        <f t="shared" si="33"/>
        <v>0.7774013884090084</v>
      </c>
      <c r="Q62" s="392">
        <f t="shared" si="33"/>
        <v>0.8030913563912048</v>
      </c>
      <c r="R62" s="392">
        <f t="shared" si="33"/>
        <v>0.829615372522663</v>
      </c>
      <c r="S62" s="392">
        <f t="shared" si="33"/>
        <v>0.8584944822053611</v>
      </c>
      <c r="T62" s="392">
        <f t="shared" si="33"/>
        <v>0.8893496716831566</v>
      </c>
    </row>
    <row r="63" spans="1:20" ht="12.75">
      <c r="A63" s="424" t="s">
        <v>744</v>
      </c>
      <c r="B63" s="425"/>
      <c r="C63" s="425"/>
      <c r="D63" s="419">
        <f>D$64-SUM(D$61:D$62)</f>
        <v>1.784</v>
      </c>
      <c r="E63" s="419">
        <f>E$64-SUM(E$61:E$62)</f>
        <v>1.5519999999999998</v>
      </c>
      <c r="F63" s="420">
        <f>F$64-SUM(F$61:F$62)</f>
        <v>1.018</v>
      </c>
      <c r="G63" s="420">
        <f>G$64-SUM(G$61:G$62)</f>
        <v>1.163</v>
      </c>
      <c r="H63" s="420">
        <f>H$64-SUM(H$61:H$62)</f>
        <v>1.184</v>
      </c>
      <c r="I63" s="420">
        <f>I$64-SUM(I$61:I$62)</f>
        <v>1.188</v>
      </c>
      <c r="J63" s="420">
        <f>J$64-SUM(J$61:J$62)</f>
        <v>1.323</v>
      </c>
      <c r="K63" s="421">
        <f>J$63*SUM(K$119,K$120,K$122)/SUM(J$119,J$120,J$122)</f>
        <v>1.3482057236132698</v>
      </c>
      <c r="L63" s="421">
        <f aca="true" t="shared" si="34" ref="L63:T63">K$63*SUM(L$119,L$120,L$122)/SUM(K$119,K$120,K$122)</f>
        <v>1.3751698380855353</v>
      </c>
      <c r="M63" s="421">
        <f t="shared" si="34"/>
        <v>1.402673234847246</v>
      </c>
      <c r="N63" s="421">
        <f t="shared" si="34"/>
        <v>1.430726699544191</v>
      </c>
      <c r="O63" s="421">
        <f t="shared" si="34"/>
        <v>1.4593412335350746</v>
      </c>
      <c r="P63" s="421">
        <f t="shared" si="34"/>
        <v>1.488528058205776</v>
      </c>
      <c r="Q63" s="421">
        <f t="shared" si="34"/>
        <v>1.518298619369892</v>
      </c>
      <c r="R63" s="421">
        <f t="shared" si="34"/>
        <v>1.5486645917572897</v>
      </c>
      <c r="S63" s="421">
        <f t="shared" si="34"/>
        <v>1.5796378835924356</v>
      </c>
      <c r="T63" s="421">
        <f t="shared" si="34"/>
        <v>1.6112306412642843</v>
      </c>
    </row>
    <row r="64" spans="1:20" ht="12.75">
      <c r="A64" s="403" t="s">
        <v>458</v>
      </c>
      <c r="B64" s="409"/>
      <c r="C64" s="393"/>
      <c r="D64" s="417">
        <f>Data!C$98</f>
        <v>2.58</v>
      </c>
      <c r="E64" s="417">
        <f>Data!D$98</f>
        <v>2.344</v>
      </c>
      <c r="F64" s="422">
        <f>Data!E$98</f>
        <v>1.897</v>
      </c>
      <c r="G64" s="422">
        <f>Data!F$98</f>
        <v>2.076</v>
      </c>
      <c r="H64" s="422">
        <f>Data!G$98</f>
        <v>2.165</v>
      </c>
      <c r="I64" s="422">
        <f>Data!H$98</f>
        <v>2.243</v>
      </c>
      <c r="J64" s="422">
        <f>Data!I$98</f>
        <v>2.456</v>
      </c>
      <c r="K64" s="423">
        <f>SUM(K$61:K$63)</f>
        <v>2.4373710454978257</v>
      </c>
      <c r="L64" s="423">
        <f aca="true" t="shared" si="35" ref="L64:T64">SUM(L$61:L$63)</f>
        <v>2.513695190208908</v>
      </c>
      <c r="M64" s="423">
        <f t="shared" si="35"/>
        <v>2.592193680065545</v>
      </c>
      <c r="N64" s="423">
        <f t="shared" si="35"/>
        <v>2.6745872719202275</v>
      </c>
      <c r="O64" s="423">
        <f t="shared" si="35"/>
        <v>2.760963644972429</v>
      </c>
      <c r="P64" s="423">
        <f t="shared" si="35"/>
        <v>2.8520004885956722</v>
      </c>
      <c r="Q64" s="423">
        <f t="shared" si="35"/>
        <v>2.945989328041808</v>
      </c>
      <c r="R64" s="423">
        <f t="shared" si="35"/>
        <v>3.0742284008022986</v>
      </c>
      <c r="S64" s="423">
        <f t="shared" si="35"/>
        <v>3.2422648158614225</v>
      </c>
      <c r="T64" s="423">
        <f t="shared" si="35"/>
        <v>3.4172440615326285</v>
      </c>
    </row>
    <row r="65" spans="1:20" ht="12.75">
      <c r="A65" s="424" t="s">
        <v>745</v>
      </c>
      <c r="B65" s="409"/>
      <c r="C65" s="393"/>
      <c r="D65" s="419">
        <f>SUM(Data!C$130:C$131)-Data!C$132</f>
        <v>0.41500000000000004</v>
      </c>
      <c r="E65" s="419">
        <f>SUM(Data!D$130:D$131)-Data!D$132</f>
        <v>0.8700000000000001</v>
      </c>
      <c r="F65" s="420">
        <f>SUM(Data!E$130:E$131)-Data!E$132</f>
        <v>1.102</v>
      </c>
      <c r="G65" s="420">
        <f>SUM(Data!F$130:F$131)-Data!F$132</f>
        <v>1.0829999999999997</v>
      </c>
      <c r="H65" s="420">
        <f>SUM(Data!G$130:G$131)-Data!G$132</f>
        <v>1.166</v>
      </c>
      <c r="I65" s="420">
        <f>SUM(Data!H$130:H$131)-Data!H$132</f>
        <v>1.12</v>
      </c>
      <c r="J65" s="420">
        <f>SUM(Data!I$130:I$131)-Data!I$132</f>
        <v>0.986</v>
      </c>
      <c r="K65" s="421">
        <f aca="true" t="shared" si="36" ref="K65:T65">J$65*SUM(K$124,K$125)/SUM(J$124,J$125)</f>
        <v>1.0431836998560766</v>
      </c>
      <c r="L65" s="421">
        <f t="shared" si="36"/>
        <v>1.104671319146358</v>
      </c>
      <c r="M65" s="421">
        <f t="shared" si="36"/>
        <v>1.1665591166068547</v>
      </c>
      <c r="N65" s="421">
        <f t="shared" si="36"/>
        <v>1.2182320460952207</v>
      </c>
      <c r="O65" s="421">
        <f t="shared" si="36"/>
        <v>1.2701312084402578</v>
      </c>
      <c r="P65" s="421">
        <f t="shared" si="36"/>
        <v>1.323952321323074</v>
      </c>
      <c r="Q65" s="421">
        <f t="shared" si="36"/>
        <v>1.3798126652611147</v>
      </c>
      <c r="R65" s="421">
        <f t="shared" si="36"/>
        <v>1.437519342554061</v>
      </c>
      <c r="S65" s="421">
        <f t="shared" si="36"/>
        <v>1.4979095860220117</v>
      </c>
      <c r="T65" s="421">
        <f t="shared" si="36"/>
        <v>1.560636206062129</v>
      </c>
    </row>
    <row r="66" spans="1:20" ht="12.75">
      <c r="A66" s="403" t="s">
        <v>396</v>
      </c>
      <c r="B66" s="425"/>
      <c r="C66" s="393"/>
      <c r="D66" s="417">
        <f>SUM(D$64,D$65)</f>
        <v>2.995</v>
      </c>
      <c r="E66" s="417">
        <f>SUM(E$64,E$65)</f>
        <v>3.214</v>
      </c>
      <c r="F66" s="422">
        <f>SUM(F$64,F$65)</f>
        <v>2.999</v>
      </c>
      <c r="G66" s="422">
        <f aca="true" t="shared" si="37" ref="G66:T66">SUM(G$64,G$65)</f>
        <v>3.159</v>
      </c>
      <c r="H66" s="422">
        <f t="shared" si="37"/>
        <v>3.331</v>
      </c>
      <c r="I66" s="422">
        <f t="shared" si="37"/>
        <v>3.363</v>
      </c>
      <c r="J66" s="422">
        <f t="shared" si="37"/>
        <v>3.442</v>
      </c>
      <c r="K66" s="423">
        <f t="shared" si="37"/>
        <v>3.4805547453539023</v>
      </c>
      <c r="L66" s="423">
        <f t="shared" si="37"/>
        <v>3.618366509355266</v>
      </c>
      <c r="M66" s="423">
        <f t="shared" si="37"/>
        <v>3.7587527966724</v>
      </c>
      <c r="N66" s="423">
        <f t="shared" si="37"/>
        <v>3.892819318015448</v>
      </c>
      <c r="O66" s="423">
        <f t="shared" si="37"/>
        <v>4.031094853412687</v>
      </c>
      <c r="P66" s="423">
        <f t="shared" si="37"/>
        <v>4.175952809918746</v>
      </c>
      <c r="Q66" s="423">
        <f t="shared" si="37"/>
        <v>4.325801993302923</v>
      </c>
      <c r="R66" s="423">
        <f t="shared" si="37"/>
        <v>4.511747743356359</v>
      </c>
      <c r="S66" s="423">
        <f t="shared" si="37"/>
        <v>4.740174401883435</v>
      </c>
      <c r="T66" s="423">
        <f t="shared" si="37"/>
        <v>4.977880267594758</v>
      </c>
    </row>
    <row r="67" spans="1:20" ht="12.75">
      <c r="A67" s="426"/>
      <c r="C67" s="393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/>
    </row>
    <row r="68" spans="1:20" ht="12.75">
      <c r="A68" s="418" t="s">
        <v>681</v>
      </c>
      <c r="C68" s="392"/>
      <c r="D68" s="407"/>
      <c r="E68" s="407"/>
      <c r="F68" s="392"/>
      <c r="G68" s="392"/>
      <c r="H68" s="392"/>
      <c r="I68" s="392"/>
      <c r="J68" s="392"/>
      <c r="T68" s="392"/>
    </row>
    <row r="69" spans="1:20" ht="12.75">
      <c r="A69" s="424" t="s">
        <v>293</v>
      </c>
      <c r="B69" s="409"/>
      <c r="C69" s="392"/>
      <c r="D69" s="407">
        <f>Data!C$135</f>
        <v>6.81</v>
      </c>
      <c r="E69" s="407">
        <f>Data!D$135</f>
        <v>7.348</v>
      </c>
      <c r="F69" s="408">
        <f>Data!E$135</f>
        <v>7.746</v>
      </c>
      <c r="G69" s="408">
        <f>Data!F$135</f>
        <v>8.246</v>
      </c>
      <c r="H69" s="408">
        <f>Data!G$135</f>
        <v>8.665</v>
      </c>
      <c r="I69" s="408">
        <f>Data!H$135</f>
        <v>9.186</v>
      </c>
      <c r="J69" s="408">
        <f>Data!I$135</f>
        <v>9.666</v>
      </c>
      <c r="K69" s="392">
        <f>J$69*(K$79/J$79)*(1+Popn!K$201)</f>
        <v>10.223801700259253</v>
      </c>
      <c r="L69" s="392">
        <f>K$69*(L$79/K$79)*(1+Popn!L$201)</f>
        <v>10.915914071132661</v>
      </c>
      <c r="M69" s="392">
        <f>L$69*(M$79/L$79)*(1+Popn!M$201)</f>
        <v>11.628113475432272</v>
      </c>
      <c r="N69" s="392">
        <f>M$69*(N$79/M$79)*(1+Popn!N$201)</f>
        <v>12.378123577763784</v>
      </c>
      <c r="O69" s="392">
        <f>N$69*(O$79/N$79)*(1+Popn!O$201)</f>
        <v>13.163957073173362</v>
      </c>
      <c r="P69" s="392">
        <f>O$69*(P$79/O$79)*(1+Popn!P$201)</f>
        <v>14.007301840872335</v>
      </c>
      <c r="Q69" s="392">
        <f>P$69*(Q$79/P$79)*(1+Popn!Q$201)</f>
        <v>14.90291304325478</v>
      </c>
      <c r="R69" s="392">
        <f>Q$69*(R$79/Q$79)*(1+Popn!R$201)</f>
        <v>15.868106953695564</v>
      </c>
      <c r="S69" s="392">
        <f>R$69*(S$79/R$79)*(1+Popn!S$201)</f>
        <v>16.8897152095061</v>
      </c>
      <c r="T69" s="392">
        <f>S$69*(T$79/S$79)*(1+Popn!T$201)</f>
        <v>17.95898529737217</v>
      </c>
    </row>
    <row r="70" spans="1:20" ht="12.75">
      <c r="A70" s="424" t="s">
        <v>262</v>
      </c>
      <c r="B70" s="409"/>
      <c r="C70" s="392"/>
      <c r="D70" s="407">
        <f>Data!C$137</f>
        <v>0.613</v>
      </c>
      <c r="E70" s="407">
        <f>Data!D$137</f>
        <v>0.458</v>
      </c>
      <c r="F70" s="408">
        <f>Data!E$137</f>
        <v>0.588</v>
      </c>
      <c r="G70" s="408">
        <f>Data!F$137</f>
        <v>1.078</v>
      </c>
      <c r="H70" s="408">
        <f>Data!G$137</f>
        <v>1.268</v>
      </c>
      <c r="I70" s="408">
        <f>Data!H$137</f>
        <v>1.283</v>
      </c>
      <c r="J70" s="408">
        <f>Data!I$137</f>
        <v>1.205</v>
      </c>
      <c r="K70" s="392">
        <f aca="true" t="shared" si="38" ref="K70:T70">J$70*(1+K$206)*(K$210*K$213)/(J$210*J$213)</f>
        <v>1.1329752649645664</v>
      </c>
      <c r="L70" s="392">
        <f t="shared" si="38"/>
        <v>1.1218397879568127</v>
      </c>
      <c r="M70" s="392">
        <f t="shared" si="38"/>
        <v>1.1671817013979993</v>
      </c>
      <c r="N70" s="392">
        <f t="shared" si="38"/>
        <v>1.2008691708206063</v>
      </c>
      <c r="O70" s="392">
        <f t="shared" si="38"/>
        <v>1.2335257530767194</v>
      </c>
      <c r="P70" s="392">
        <f t="shared" si="38"/>
        <v>1.266793822540249</v>
      </c>
      <c r="Q70" s="392">
        <f t="shared" si="38"/>
        <v>1.3007315553945857</v>
      </c>
      <c r="R70" s="392">
        <f t="shared" si="38"/>
        <v>1.3351043288657751</v>
      </c>
      <c r="S70" s="392">
        <f t="shared" si="38"/>
        <v>1.3706326242630882</v>
      </c>
      <c r="T70" s="392">
        <f t="shared" si="38"/>
        <v>1.4069254983340205</v>
      </c>
    </row>
    <row r="71" spans="1:20" ht="12.75">
      <c r="A71" s="424" t="s">
        <v>289</v>
      </c>
      <c r="B71" s="409"/>
      <c r="C71" s="392"/>
      <c r="D71" s="407">
        <f>SUM(Data!C$136,Data!C$138,Data!C$139)</f>
        <v>3.1729999999999996</v>
      </c>
      <c r="E71" s="407">
        <f>SUM(Data!D$136,Data!D$138,Data!D$139)</f>
        <v>3.276</v>
      </c>
      <c r="F71" s="408">
        <f>SUM(Data!E$136,Data!E$138,Data!E$139)</f>
        <v>3.396</v>
      </c>
      <c r="G71" s="408">
        <f>SUM(Data!F$136,Data!F$138,Data!F$139)</f>
        <v>3.636</v>
      </c>
      <c r="H71" s="408">
        <f>SUM(Data!G$136,Data!G$138,Data!G$139)</f>
        <v>3.784</v>
      </c>
      <c r="I71" s="408">
        <f>SUM(Data!H$136,Data!H$138,Data!H$139)</f>
        <v>3.881</v>
      </c>
      <c r="J71" s="408">
        <f>SUM(Data!I$136,Data!I$138,Data!I$139)</f>
        <v>3.928</v>
      </c>
      <c r="K71" s="392">
        <f>J$71*(1+K$206)*(1+SUMPRODUCT(Popn!K$204:K$214,Tracks!$H$91:$H$101)+SUMPRODUCT(Popn!K$215:K$225,Tracks!$I$91:$I$101))</f>
        <v>4.023241454493903</v>
      </c>
      <c r="L71" s="392">
        <f>K$71*(1+L$206)*(1+SUMPRODUCT(Popn!L$204:L$214,Tracks!$H$91:$H$101)+SUMPRODUCT(Popn!L$215:L$225,Tracks!$I$91:$I$101))</f>
        <v>4.122854396207244</v>
      </c>
      <c r="M71" s="392">
        <f>L$71*(1+M$206)*(1+SUMPRODUCT(Popn!M$204:M$214,Tracks!$H$91:$H$101)+SUMPRODUCT(Popn!M$215:M$225,Tracks!$I$91:$I$101))</f>
        <v>4.22652941873269</v>
      </c>
      <c r="N71" s="392">
        <f>M$71*(1+N$206)*(1+SUMPRODUCT(Popn!N$204:N$214,Tracks!$H$91:$H$101)+SUMPRODUCT(Popn!N$215:N$225,Tracks!$I$91:$I$101))</f>
        <v>4.329885207430175</v>
      </c>
      <c r="O71" s="392">
        <f>N$71*(1+O$206)*(1+SUMPRODUCT(Popn!O$204:O$214,Tracks!$H$91:$H$101)+SUMPRODUCT(Popn!O$215:O$225,Tracks!$I$91:$I$101))</f>
        <v>4.43802025896612</v>
      </c>
      <c r="P71" s="392">
        <f>O$71*(1+P$206)*(1+SUMPRODUCT(Popn!P$204:P$214,Tracks!$H$91:$H$101)+SUMPRODUCT(Popn!P$215:P$225,Tracks!$I$91:$I$101))</f>
        <v>4.544482977374443</v>
      </c>
      <c r="Q71" s="392">
        <f>P$71*(1+Q$206)*(1+SUMPRODUCT(Popn!Q$204:Q$214,Tracks!$H$91:$H$101)+SUMPRODUCT(Popn!Q$215:Q$225,Tracks!$I$91:$I$101))</f>
        <v>4.649484327739158</v>
      </c>
      <c r="R71" s="392">
        <f>Q$71*(1+R$206)*(1+SUMPRODUCT(Popn!R$204:R$214,Tracks!$H$91:$H$101)+SUMPRODUCT(Popn!R$215:R$225,Tracks!$I$91:$I$101))</f>
        <v>4.754004867479097</v>
      </c>
      <c r="S71" s="392">
        <f>R$71*(1+S$206)*(1+SUMPRODUCT(Popn!S$204:S$214,Tracks!$H$91:$H$101)+SUMPRODUCT(Popn!S$215:S$225,Tracks!$I$91:$I$101))</f>
        <v>4.861780981344688</v>
      </c>
      <c r="T71" s="392">
        <f>S$71*(1+T$206)*(1+SUMPRODUCT(Popn!T$204:T$214,Tracks!$H$91:$H$101)+SUMPRODUCT(Popn!T$215:T$225,Tracks!$I$91:$I$101))</f>
        <v>4.970716019295176</v>
      </c>
    </row>
    <row r="72" spans="1:20" ht="12.75">
      <c r="A72" s="226" t="s">
        <v>291</v>
      </c>
      <c r="B72" s="410"/>
      <c r="C72" s="392"/>
      <c r="D72" s="419">
        <f>D$73-SUM(D$69:D$71)</f>
        <v>6.172000000000001</v>
      </c>
      <c r="E72" s="419">
        <f aca="true" t="shared" si="39" ref="E72:J72">E$73-SUM(E$69:E$71)</f>
        <v>6.794999999999998</v>
      </c>
      <c r="F72" s="420">
        <f t="shared" si="39"/>
        <v>7.745000000000001</v>
      </c>
      <c r="G72" s="420">
        <f t="shared" si="39"/>
        <v>8.178999999999998</v>
      </c>
      <c r="H72" s="420">
        <f t="shared" si="39"/>
        <v>8.397000000000002</v>
      </c>
      <c r="I72" s="420">
        <f t="shared" si="39"/>
        <v>8.575000000000001</v>
      </c>
      <c r="J72" s="420">
        <f t="shared" si="39"/>
        <v>8.773</v>
      </c>
      <c r="K72" s="421">
        <f>J$72*(1+K$206)*(1+AVERAGE(Popn!K$197,Popn!K$202))</f>
        <v>8.987637058047053</v>
      </c>
      <c r="L72" s="421">
        <f>K$72*(1+L$206)*(1+AVERAGE(Popn!L$197,Popn!L$202))</f>
        <v>9.213420074693717</v>
      </c>
      <c r="M72" s="421">
        <f>L$72*(1+M$206)*(1+AVERAGE(Popn!M$197,Popn!M$202))</f>
        <v>9.446101513267267</v>
      </c>
      <c r="N72" s="421">
        <f>M$72*(1+N$206)*(1+AVERAGE(Popn!N$197,Popn!N$202))</f>
        <v>9.688176894444847</v>
      </c>
      <c r="O72" s="421">
        <f>N$72*(1+O$206)*(1+AVERAGE(Popn!O$197,Popn!O$202))</f>
        <v>9.934577422101661</v>
      </c>
      <c r="P72" s="421">
        <f>O$72*(1+P$206)*(1+AVERAGE(Popn!P$197,Popn!P$202))</f>
        <v>10.188185444210438</v>
      </c>
      <c r="Q72" s="421">
        <f>P$72*(1+Q$206)*(1+AVERAGE(Popn!Q$197,Popn!Q$202))</f>
        <v>10.437965839697073</v>
      </c>
      <c r="R72" s="421">
        <f>Q$72*(1+R$206)*(1+AVERAGE(Popn!R$197,Popn!R$202))</f>
        <v>10.696332774277073</v>
      </c>
      <c r="S72" s="421">
        <f>R$72*(1+S$206)*(1+AVERAGE(Popn!S$197,Popn!S$202))</f>
        <v>10.968363640138778</v>
      </c>
      <c r="T72" s="421">
        <f>S$72*(1+T$206)*(1+AVERAGE(Popn!T$197,Popn!T$202))</f>
        <v>11.242868166679397</v>
      </c>
    </row>
    <row r="73" spans="1:20" ht="12.75">
      <c r="A73" s="403" t="s">
        <v>479</v>
      </c>
      <c r="B73" s="409"/>
      <c r="C73" s="392"/>
      <c r="D73" s="417">
        <f>Data!C$37</f>
        <v>16.768</v>
      </c>
      <c r="E73" s="417">
        <f>Data!D$37</f>
        <v>17.877</v>
      </c>
      <c r="F73" s="422">
        <f>Data!E$37</f>
        <v>19.475</v>
      </c>
      <c r="G73" s="422">
        <f>Data!F$37</f>
        <v>21.139</v>
      </c>
      <c r="H73" s="422">
        <f>Data!G$37</f>
        <v>22.114</v>
      </c>
      <c r="I73" s="422">
        <f>Data!H$37</f>
        <v>22.925</v>
      </c>
      <c r="J73" s="422">
        <f>Data!I$37</f>
        <v>23.572</v>
      </c>
      <c r="K73" s="423">
        <f aca="true" t="shared" si="40" ref="K73:T73">SUM(K$69:K$72)</f>
        <v>24.367655477764774</v>
      </c>
      <c r="L73" s="423">
        <f t="shared" si="40"/>
        <v>25.374028329990438</v>
      </c>
      <c r="M73" s="423">
        <f t="shared" si="40"/>
        <v>26.467926108830227</v>
      </c>
      <c r="N73" s="423">
        <f t="shared" si="40"/>
        <v>27.59705485045941</v>
      </c>
      <c r="O73" s="423">
        <f t="shared" si="40"/>
        <v>28.770080507317864</v>
      </c>
      <c r="P73" s="423">
        <f t="shared" si="40"/>
        <v>30.006764084997464</v>
      </c>
      <c r="Q73" s="423">
        <f t="shared" si="40"/>
        <v>31.291094766085592</v>
      </c>
      <c r="R73" s="423">
        <f t="shared" si="40"/>
        <v>32.65354892431751</v>
      </c>
      <c r="S73" s="423">
        <f t="shared" si="40"/>
        <v>34.09049245525265</v>
      </c>
      <c r="T73" s="423">
        <f t="shared" si="40"/>
        <v>35.57949498168077</v>
      </c>
    </row>
    <row r="74" spans="1:20" ht="12.75">
      <c r="A74" s="226" t="s">
        <v>682</v>
      </c>
      <c r="B74" s="427"/>
      <c r="C74" s="392"/>
      <c r="D74" s="407">
        <f aca="true" t="shared" si="41" ref="D74:J74">D$75-D$73</f>
        <v>3.061</v>
      </c>
      <c r="E74" s="407">
        <f t="shared" si="41"/>
        <v>3.6320000000000014</v>
      </c>
      <c r="F74" s="408">
        <f t="shared" si="41"/>
        <v>3.9339999999999975</v>
      </c>
      <c r="G74" s="408">
        <f t="shared" si="41"/>
        <v>3.934000000000001</v>
      </c>
      <c r="H74" s="408">
        <f t="shared" si="41"/>
        <v>4.294999999999998</v>
      </c>
      <c r="I74" s="408">
        <f t="shared" si="41"/>
        <v>4.6789999999999985</v>
      </c>
      <c r="J74" s="408">
        <f t="shared" si="41"/>
        <v>5.035</v>
      </c>
      <c r="K74" s="392">
        <f aca="true" t="shared" si="42" ref="K74:T74">J$74*(1+K$206)*(1+K$218)*(K$81/J$81)</f>
        <v>5.2296011643023</v>
      </c>
      <c r="L74" s="392">
        <f t="shared" si="42"/>
        <v>5.435521073249297</v>
      </c>
      <c r="M74" s="392">
        <f t="shared" si="42"/>
        <v>5.646784248861215</v>
      </c>
      <c r="N74" s="392">
        <f t="shared" si="42"/>
        <v>5.865777671434436</v>
      </c>
      <c r="O74" s="392">
        <f t="shared" si="42"/>
        <v>6.090777585551483</v>
      </c>
      <c r="P74" s="392">
        <f t="shared" si="42"/>
        <v>6.326352766148998</v>
      </c>
      <c r="Q74" s="392">
        <f t="shared" si="42"/>
        <v>6.576585021656618</v>
      </c>
      <c r="R74" s="392">
        <f t="shared" si="42"/>
        <v>6.834696985385665</v>
      </c>
      <c r="S74" s="392">
        <f t="shared" si="42"/>
        <v>7.107947889355593</v>
      </c>
      <c r="T74" s="392">
        <f t="shared" si="42"/>
        <v>7.4056064213536015</v>
      </c>
    </row>
    <row r="75" spans="1:20" ht="12.75">
      <c r="A75" s="403" t="s">
        <v>455</v>
      </c>
      <c r="B75" s="409"/>
      <c r="C75" s="392"/>
      <c r="D75" s="417">
        <f>Data!C$19</f>
        <v>19.829</v>
      </c>
      <c r="E75" s="417">
        <f>Data!D$19</f>
        <v>21.509</v>
      </c>
      <c r="F75" s="422">
        <f>Data!E$19</f>
        <v>23.409</v>
      </c>
      <c r="G75" s="422">
        <f>Data!F$19</f>
        <v>25.073</v>
      </c>
      <c r="H75" s="422">
        <f>Data!G$19</f>
        <v>26.409</v>
      </c>
      <c r="I75" s="422">
        <f>Data!H$19</f>
        <v>27.604</v>
      </c>
      <c r="J75" s="422">
        <f>Data!I$19</f>
        <v>28.607</v>
      </c>
      <c r="K75" s="423">
        <f>SUM(K$73,K$74)</f>
        <v>29.597256642067073</v>
      </c>
      <c r="L75" s="423">
        <f aca="true" t="shared" si="43" ref="L75:T75">SUM(L$73,L$74)</f>
        <v>30.809549403239735</v>
      </c>
      <c r="M75" s="423">
        <f t="shared" si="43"/>
        <v>32.11471035769144</v>
      </c>
      <c r="N75" s="423">
        <f t="shared" si="43"/>
        <v>33.462832521893844</v>
      </c>
      <c r="O75" s="423">
        <f t="shared" si="43"/>
        <v>34.86085809286935</v>
      </c>
      <c r="P75" s="423">
        <f t="shared" si="43"/>
        <v>36.333116851146464</v>
      </c>
      <c r="Q75" s="423">
        <f t="shared" si="43"/>
        <v>37.86767978774221</v>
      </c>
      <c r="R75" s="423">
        <f t="shared" si="43"/>
        <v>39.488245909703174</v>
      </c>
      <c r="S75" s="423">
        <f t="shared" si="43"/>
        <v>41.198440344608244</v>
      </c>
      <c r="T75" s="423">
        <f t="shared" si="43"/>
        <v>42.98510140303437</v>
      </c>
    </row>
    <row r="76" spans="1:20" ht="12.75">
      <c r="A76" s="418" t="s">
        <v>686</v>
      </c>
      <c r="C76" s="392"/>
      <c r="D76" s="407"/>
      <c r="E76" s="407"/>
      <c r="F76" s="408"/>
      <c r="G76" s="408"/>
      <c r="H76" s="408"/>
      <c r="I76" s="408"/>
      <c r="J76" s="408"/>
      <c r="T76" s="392"/>
    </row>
    <row r="77" spans="1:20" ht="12.75">
      <c r="A77" s="323" t="s">
        <v>805</v>
      </c>
      <c r="B77" s="409"/>
      <c r="C77" s="392"/>
      <c r="D77" s="428">
        <f>Data!C$207</f>
        <v>832.54</v>
      </c>
      <c r="E77" s="428">
        <f>Data!D$207</f>
        <v>861.55</v>
      </c>
      <c r="F77" s="429">
        <f>Data!E$207</f>
        <v>905.74</v>
      </c>
      <c r="G77" s="429">
        <f>Data!F$207</f>
        <v>927.37</v>
      </c>
      <c r="H77" s="429">
        <f>Data!G$207</f>
        <v>948.49</v>
      </c>
      <c r="I77" s="429">
        <f>Data!H$207</f>
        <v>958.62</v>
      </c>
      <c r="J77" s="429">
        <f>Data!I$207</f>
        <v>970.65</v>
      </c>
      <c r="K77" s="430">
        <f aca="true" t="shared" si="44" ref="K77:T77">J$77*(1+K$218)*(1+K$206)</f>
        <v>1003.9799122521532</v>
      </c>
      <c r="L77" s="430">
        <f t="shared" si="44"/>
        <v>1039.4204031546542</v>
      </c>
      <c r="M77" s="430">
        <f t="shared" si="44"/>
        <v>1076.1119433860133</v>
      </c>
      <c r="N77" s="430">
        <f t="shared" si="44"/>
        <v>1114.0986949875396</v>
      </c>
      <c r="O77" s="430">
        <f t="shared" si="44"/>
        <v>1153.4263789205997</v>
      </c>
      <c r="P77" s="430">
        <f t="shared" si="44"/>
        <v>1194.1423300964966</v>
      </c>
      <c r="Q77" s="430">
        <f t="shared" si="44"/>
        <v>1236.295554348903</v>
      </c>
      <c r="R77" s="430">
        <f t="shared" si="44"/>
        <v>1279.936787417419</v>
      </c>
      <c r="S77" s="430">
        <f t="shared" si="44"/>
        <v>1325.1185560132537</v>
      </c>
      <c r="T77" s="430">
        <f t="shared" si="44"/>
        <v>1371.8952410405213</v>
      </c>
    </row>
    <row r="78" spans="1:20" ht="12.75">
      <c r="A78" s="323" t="s">
        <v>807</v>
      </c>
      <c r="B78" s="409"/>
      <c r="C78" s="392"/>
      <c r="D78" s="428">
        <f>Data!C$194</f>
        <v>645.82</v>
      </c>
      <c r="E78" s="428">
        <f>Data!D$194</f>
        <v>664.02</v>
      </c>
      <c r="F78" s="429">
        <f>Data!E$194</f>
        <v>723.19</v>
      </c>
      <c r="G78" s="429">
        <f>Data!F$194</f>
        <v>739.35</v>
      </c>
      <c r="H78" s="429">
        <f>Data!G$194</f>
        <v>753.19</v>
      </c>
      <c r="I78" s="429">
        <f>Data!H$194</f>
        <v>759.85</v>
      </c>
      <c r="J78" s="429">
        <f>Data!I$194</f>
        <v>767.71</v>
      </c>
      <c r="K78" s="430">
        <f ca="1">K$77-(J$77-J$78)*(1+IF(AND(OFFSET(Scenarios!$A$21,0,$C$1)="YES",MID(OFFSET(Scenarios!$A$23,0,$C$1),6,2)&gt;=MID(K$3,4,2)),IF(OFFSET(Scenarios!$A$26,0,$C$1)="Inflation",1,OFFSET(Scenarios!$A$22,0,$C$1)),1)*K$218)*(1+IF(AND(OFFSET(Scenarios!$A$21,0,$C$1)="YES",MID(OFFSET(Scenarios!$A$23,0,$C$1),6,2)&gt;=MID(K$3,4,2)),IF(OFFSET(Scenarios!$A$26,0,$C$1)="Wage",1,OFFSET(Scenarios!$A$22,0,$C$1)),1)*K$206)</f>
        <v>791.6050370955552</v>
      </c>
      <c r="L78" s="430">
        <f ca="1">L$77-(K$77-K$78)*(1+IF(AND(OFFSET(Scenarios!$A$21,0,$C$1)="YES",MID(OFFSET(Scenarios!$A$23,0,$C$1),6,2)&gt;=MID(L$3,4,2)),IF(OFFSET(Scenarios!$A$26,0,$C$1)="Inflation",1,OFFSET(Scenarios!$A$22,0,$C$1)),1)*L$218)*(1+IF(AND(OFFSET(Scenarios!$A$21,0,$C$1)="YES",MID(OFFSET(Scenarios!$A$23,0,$C$1),6,2)&gt;=MID(L$3,4,2)),IF(OFFSET(Scenarios!$A$26,0,$C$1)="Wage",1,OFFSET(Scenarios!$A$22,0,$C$1)),1)*L$206)</f>
        <v>816.894699183915</v>
      </c>
      <c r="M78" s="430">
        <f ca="1">M$77-(L$77-L$78)*(1+IF(AND(OFFSET(Scenarios!$A$21,0,$C$1)="YES",MID(OFFSET(Scenarios!$A$23,0,$C$1),6,2)&gt;=MID(M$3,4,2)),IF(OFFSET(Scenarios!$A$26,0,$C$1)="Inflation",1,OFFSET(Scenarios!$A$22,0,$C$1)),1)*M$218)*(1+IF(AND(OFFSET(Scenarios!$A$21,0,$C$1)="YES",MID(OFFSET(Scenarios!$A$23,0,$C$1),6,2)&gt;=MID(M$3,4,2)),IF(OFFSET(Scenarios!$A$26,0,$C$1)="Wage",1,OFFSET(Scenarios!$A$22,0,$C$1)),1)*M$206)</f>
        <v>842.9502339740106</v>
      </c>
      <c r="N78" s="430">
        <f ca="1">N$77-(M$77-M$78)*(1+IF(AND(OFFSET(Scenarios!$A$21,0,$C$1)="YES",MID(OFFSET(Scenarios!$A$23,0,$C$1),6,2)&gt;=MID(N$3,4,2)),IF(OFFSET(Scenarios!$A$26,0,$C$1)="Inflation",1,OFFSET(Scenarios!$A$22,0,$C$1)),1)*N$218)*(1+IF(AND(OFFSET(Scenarios!$A$21,0,$C$1)="YES",MID(OFFSET(Scenarios!$A$23,0,$C$1),6,2)&gt;=MID(N$3,4,2)),IF(OFFSET(Scenarios!$A$26,0,$C$1)="Wage",1,OFFSET(Scenarios!$A$22,0,$C$1)),1)*N$206)</f>
        <v>869.7926136411988</v>
      </c>
      <c r="O78" s="430">
        <f ca="1">O$77-(N$77-N$78)*(1+IF(AND(OFFSET(Scenarios!$A$21,0,$C$1)="YES",MID(OFFSET(Scenarios!$A$23,0,$C$1),6,2)&gt;=MID(O$3,4,2)),IF(OFFSET(Scenarios!$A$26,0,$C$1)="Inflation",1,OFFSET(Scenarios!$A$22,0,$C$1)),1)*O$218)*(1+IF(AND(OFFSET(Scenarios!$A$21,0,$C$1)="YES",MID(OFFSET(Scenarios!$A$23,0,$C$1),6,2)&gt;=MID(O$3,4,2)),IF(OFFSET(Scenarios!$A$26,0,$C$1)="Wage",1,OFFSET(Scenarios!$A$22,0,$C$1)),1)*O$206)</f>
        <v>897.4432608806683</v>
      </c>
      <c r="P78" s="430">
        <f ca="1">P$77-(O$77-O$78)*(1+IF(AND(OFFSET(Scenarios!$A$21,0,$C$1)="YES",MID(OFFSET(Scenarios!$A$23,0,$C$1),6,2)&gt;=MID(P$3,4,2)),IF(OFFSET(Scenarios!$A$26,0,$C$1)="Inflation",1,OFFSET(Scenarios!$A$22,0,$C$1)),1)*P$218)*(1+IF(AND(OFFSET(Scenarios!$A$21,0,$C$1)="YES",MID(OFFSET(Scenarios!$A$23,0,$C$1),6,2)&gt;=MID(P$3,4,2)),IF(OFFSET(Scenarios!$A$26,0,$C$1)="Wage",1,OFFSET(Scenarios!$A$22,0,$C$1)),1)*P$206)</f>
        <v>925.9240509593901</v>
      </c>
      <c r="Q78" s="430">
        <f ca="1">Q$77-(P$77-P$78)*(1+IF(AND(OFFSET(Scenarios!$A$21,0,$C$1)="YES",MID(OFFSET(Scenarios!$A$23,0,$C$1),6,2)&gt;=MID(Q$3,4,2)),IF(OFFSET(Scenarios!$A$26,0,$C$1)="Inflation",1,OFFSET(Scenarios!$A$22,0,$C$1)),1)*Q$218)*(1+IF(AND(OFFSET(Scenarios!$A$21,0,$C$1)="YES",MID(OFFSET(Scenarios!$A$23,0,$C$1),6,2)&gt;=MID(Q$3,4,2)),IF(OFFSET(Scenarios!$A$26,0,$C$1)="Wage",1,OFFSET(Scenarios!$A$22,0,$C$1)),1)*Q$206)</f>
        <v>955.25731317845</v>
      </c>
      <c r="R78" s="430">
        <f ca="1">R$77-(Q$77-Q$78)*(1+IF(AND(OFFSET(Scenarios!$A$21,0,$C$1)="YES",MID(OFFSET(Scenarios!$A$23,0,$C$1),6,2)&gt;=MID(R$3,4,2)),IF(OFFSET(Scenarios!$A$26,0,$C$1)="Inflation",1,OFFSET(Scenarios!$A$22,0,$C$1)),1)*R$218)*(1+IF(AND(OFFSET(Scenarios!$A$21,0,$C$1)="YES",MID(OFFSET(Scenarios!$A$23,0,$C$1),6,2)&gt;=MID(R$3,4,2)),IF(OFFSET(Scenarios!$A$26,0,$C$1)="Wage",1,OFFSET(Scenarios!$A$22,0,$C$1)),1)*R$206)</f>
        <v>985.4658316933023</v>
      </c>
      <c r="S78" s="430">
        <f ca="1">S$77-(R$77-R$78)*(1+IF(AND(OFFSET(Scenarios!$A$21,0,$C$1)="YES",MID(OFFSET(Scenarios!$A$23,0,$C$1),6,2)&gt;=MID(S$3,4,2)),IF(OFFSET(Scenarios!$A$26,0,$C$1)="Inflation",1,OFFSET(Scenarios!$A$22,0,$C$1)),1)*S$218)*(1+IF(AND(OFFSET(Scenarios!$A$21,0,$C$1)="YES",MID(OFFSET(Scenarios!$A$23,0,$C$1),6,2)&gt;=MID(S$3,4,2)),IF(OFFSET(Scenarios!$A$26,0,$C$1)="Wage",1,OFFSET(Scenarios!$A$22,0,$C$1)),1)*S$206)</f>
        <v>1016.5728456361303</v>
      </c>
      <c r="T78" s="430">
        <f ca="1">T$77-(S$77-S$78)*(1+IF(AND(OFFSET(Scenarios!$A$21,0,$C$1)="YES",MID(OFFSET(Scenarios!$A$23,0,$C$1),6,2)&gt;=MID(T$3,4,2)),IF(OFFSET(Scenarios!$A$26,0,$C$1)="Inflation",1,OFFSET(Scenarios!$A$22,0,$C$1)),1)*T$218)*(1+IF(AND(OFFSET(Scenarios!$A$21,0,$C$1)="YES",MID(OFFSET(Scenarios!$A$23,0,$C$1),6,2)&gt;=MID(T$3,4,2)),IF(OFFSET(Scenarios!$A$26,0,$C$1)="Wage",1,OFFSET(Scenarios!$A$22,0,$C$1)),1)*T$206)</f>
        <v>1048.60204848093</v>
      </c>
    </row>
    <row r="79" spans="1:20" ht="12.75">
      <c r="A79" s="323" t="s">
        <v>808</v>
      </c>
      <c r="B79" s="409"/>
      <c r="C79" s="392"/>
      <c r="D79" s="428">
        <f>Data!C$195</f>
        <v>213.12</v>
      </c>
      <c r="E79" s="428">
        <f>Data!D$195</f>
        <v>219.9</v>
      </c>
      <c r="F79" s="429">
        <f>Data!E$195</f>
        <v>239.19</v>
      </c>
      <c r="G79" s="429">
        <f>Data!F$195</f>
        <v>243.99</v>
      </c>
      <c r="H79" s="429">
        <f>Data!G$195</f>
        <v>249.11</v>
      </c>
      <c r="I79" s="429">
        <f>Data!H$195</f>
        <v>252.1</v>
      </c>
      <c r="J79" s="429">
        <f>Data!I$195</f>
        <v>255.63</v>
      </c>
      <c r="K79" s="430">
        <f ca="1">IF(OFFSET(Scenarios!$A$37,0,$C$1)="Yes",IF(2*J$79*(1+K$206)/K$78&gt;OFFSET(Scenarios!$A$38,0,$C$1),J$79*(1+K$206),K$78*OFFSET(Scenarios!$A$38,0,$C$1)/2),J$79*(1+K$206))</f>
        <v>261.2296622415332</v>
      </c>
      <c r="L79" s="430">
        <f ca="1">IF(OFFSET(Scenarios!$A$37,0,$C$1)="Yes",IF(2*K$79*(1+L$206)/L$78&gt;OFFSET(Scenarios!$A$38,0,$C$1),K$79*(1+L$206),L$78*OFFSET(Scenarios!$A$38,0,$C$1)/2),K$79*(1+L$206))</f>
        <v>269.57525073069195</v>
      </c>
      <c r="M79" s="430">
        <f ca="1">IF(OFFSET(Scenarios!$A$37,0,$C$1)="Yes",IF(2*L$79*(1+M$206)/M$78&gt;OFFSET(Scenarios!$A$38,0,$C$1),L$79*(1+M$206),M$78*OFFSET(Scenarios!$A$38,0,$C$1)/2),L$79*(1+M$206))</f>
        <v>278.17357721142355</v>
      </c>
      <c r="N79" s="430">
        <f ca="1">IF(OFFSET(Scenarios!$A$37,0,$C$1)="Yes",IF(2*M$79*(1+N$206)/N$78&gt;OFFSET(Scenarios!$A$38,0,$C$1),M$79*(1+N$206),N$78*OFFSET(Scenarios!$A$38,0,$C$1)/2),M$79*(1+N$206))</f>
        <v>287.03156250159566</v>
      </c>
      <c r="O79" s="430">
        <f ca="1">IF(OFFSET(Scenarios!$A$37,0,$C$1)="Yes",IF(2*N$79*(1+O$206)/O$78&gt;OFFSET(Scenarios!$A$38,0,$C$1),N$79*(1+O$206),O$78*OFFSET(Scenarios!$A$38,0,$C$1)/2),N$79*(1+O$206))</f>
        <v>296.15627609062057</v>
      </c>
      <c r="P79" s="430">
        <f ca="1">IF(OFFSET(Scenarios!$A$37,0,$C$1)="Yes",IF(2*O$79*(1+P$206)/P$78&gt;OFFSET(Scenarios!$A$38,0,$C$1),O$79*(1+P$206),P$78*OFFSET(Scenarios!$A$38,0,$C$1)/2),O$79*(1+P$206))</f>
        <v>305.55493681659874</v>
      </c>
      <c r="Q79" s="430">
        <f ca="1">IF(OFFSET(Scenarios!$A$37,0,$C$1)="Yes",IF(2*P$79*(1+Q$206)/Q$78&gt;OFFSET(Scenarios!$A$38,0,$C$1),P$79*(1+Q$206),Q$78*OFFSET(Scenarios!$A$38,0,$C$1)/2),P$79*(1+Q$206))</f>
        <v>315.2349133488885</v>
      </c>
      <c r="R79" s="430">
        <f ca="1">IF(OFFSET(Scenarios!$A$37,0,$C$1)="Yes",IF(2*Q$79*(1+R$206)/R$78&gt;OFFSET(Scenarios!$A$38,0,$C$1),Q$79*(1+R$206),R$78*OFFSET(Scenarios!$A$38,0,$C$1)/2),Q$79*(1+R$206))</f>
        <v>325.2037244587898</v>
      </c>
      <c r="S79" s="430">
        <f ca="1">IF(OFFSET(Scenarios!$A$37,0,$C$1)="Yes",IF(2*R$79*(1+S$206)/S$78&gt;OFFSET(Scenarios!$A$38,0,$C$1),R$79*(1+S$206),S$78*OFFSET(Scenarios!$A$38,0,$C$1)/2),R$79*(1+S$206))</f>
        <v>335.46903905992303</v>
      </c>
      <c r="T79" s="430">
        <f ca="1">IF(OFFSET(Scenarios!$A$37,0,$C$1)="Yes",IF(2*S$79*(1+T$206)/T$78&gt;OFFSET(Scenarios!$A$38,0,$C$1),S$79*(1+T$206),T$78*OFFSET(Scenarios!$A$38,0,$C$1)/2),S$79*(1+T$206))</f>
        <v>346.03867599870694</v>
      </c>
    </row>
    <row r="80" spans="1:20" ht="12.75">
      <c r="A80" s="323" t="s">
        <v>212</v>
      </c>
      <c r="B80" s="409"/>
      <c r="C80" s="392"/>
      <c r="D80" s="407">
        <f>Data!C$196</f>
        <v>1.268</v>
      </c>
      <c r="E80" s="407">
        <f>Data!D$196</f>
        <v>1.382</v>
      </c>
      <c r="F80" s="408">
        <f>Data!E$196</f>
        <v>1.289</v>
      </c>
      <c r="G80" s="408">
        <f>Data!F$196</f>
        <v>1.325</v>
      </c>
      <c r="H80" s="408">
        <f>Data!G$196</f>
        <v>1.405</v>
      </c>
      <c r="I80" s="408">
        <f>Data!H$196</f>
        <v>1.501</v>
      </c>
      <c r="J80" s="408">
        <f>Data!I$196</f>
        <v>1.587</v>
      </c>
      <c r="K80" s="392">
        <f aca="true" t="shared" si="45" ref="K80:T80">J$80*K$69/J$69</f>
        <v>1.6785819675472207</v>
      </c>
      <c r="L80" s="392">
        <f t="shared" si="45"/>
        <v>1.7922155628892544</v>
      </c>
      <c r="M80" s="392">
        <f t="shared" si="45"/>
        <v>1.9091471224406182</v>
      </c>
      <c r="N80" s="392">
        <f t="shared" si="45"/>
        <v>2.0322865836862327</v>
      </c>
      <c r="O80" s="392">
        <f t="shared" si="45"/>
        <v>2.161307663472597</v>
      </c>
      <c r="P80" s="392">
        <f t="shared" si="45"/>
        <v>2.2997711588520997</v>
      </c>
      <c r="Q80" s="392">
        <f t="shared" si="45"/>
        <v>2.4468159527876407</v>
      </c>
      <c r="R80" s="392">
        <f t="shared" si="45"/>
        <v>2.6052850957495197</v>
      </c>
      <c r="S80" s="392">
        <f t="shared" si="45"/>
        <v>2.7730165567438627</v>
      </c>
      <c r="T80" s="392">
        <f t="shared" si="45"/>
        <v>2.9485733154282667</v>
      </c>
    </row>
    <row r="81" spans="1:20" ht="12.75">
      <c r="A81" s="418" t="s">
        <v>737</v>
      </c>
      <c r="B81" s="410"/>
      <c r="C81" s="407"/>
      <c r="D81" s="407">
        <f>SUM(SUM(Popn!D$9:D$13)*Tracks!$C$34,SUM(Popn!D$103:D$107)*Tracks!$B$34,SUM(Popn!D$14:D$18)*Tracks!$C$35,SUM(Popn!D$108:D$112)*Tracks!$B$35,SUM(Popn!D$19:D$23)*Tracks!$C$36,SUM(Popn!D$113:D$117)*Tracks!$B$36,SUM(Popn!D$24:D$28)*Tracks!$C$37,SUM(Popn!D$118:D$122)*Tracks!$B$37,SUM(Popn!D$29:D$38)*Tracks!$C$38,SUM(Popn!D$123:D$132)*Tracks!$B$38,SUM(Popn!D$39:D$48)*Tracks!$C$39,SUM(Popn!D$133:D$142)*Tracks!$B$39,SUM(Popn!D$49:D$58)*Tracks!$C$40,SUM(Popn!D$143:D$152)*Tracks!$B$40,SUM(Popn!D$59:D$68)*Tracks!$C$41,SUM(Popn!D$153:D$162)*Tracks!$B$41,SUM(Popn!D$69:D$73)*Tracks!$C$42,SUM(Popn!D$163:D$167)*Tracks!$B$42,SUM(Popn!D$74:D$99)*Tracks!$C$43,SUM(Popn!D$168:D$193)*Tracks!$B$43)/1000000000</f>
        <v>5.54170972</v>
      </c>
      <c r="E81" s="407">
        <f>SUM(SUM(Popn!E$9:E$13)*Tracks!$C$34,SUM(Popn!E$103:E$107)*Tracks!$B$34,SUM(Popn!E$14:E$18)*Tracks!$C$35,SUM(Popn!E$108:E$112)*Tracks!$B$35,SUM(Popn!E$19:E$23)*Tracks!$C$36,SUM(Popn!E$113:E$117)*Tracks!$B$36,SUM(Popn!E$24:E$28)*Tracks!$C$37,SUM(Popn!E$118:E$122)*Tracks!$B$37,SUM(Popn!E$29:E$38)*Tracks!$C$38,SUM(Popn!E$123:E$132)*Tracks!$B$38,SUM(Popn!E$39:E$48)*Tracks!$C$39,SUM(Popn!E$133:E$142)*Tracks!$B$39,SUM(Popn!E$49:E$58)*Tracks!$C$40,SUM(Popn!E$143:E$152)*Tracks!$B$40,SUM(Popn!E$59:E$68)*Tracks!$C$41,SUM(Popn!E$153:E$162)*Tracks!$B$41,SUM(Popn!E$69:E$73)*Tracks!$C$42,SUM(Popn!E$163:E$167)*Tracks!$B$42,SUM(Popn!E$74:E$99)*Tracks!$C$43,SUM(Popn!E$168:E$193)*Tracks!$B$43)/1000000000</f>
        <v>5.59550944</v>
      </c>
      <c r="F81" s="408">
        <f>SUM(SUM(Popn!F$9:F$13)*Tracks!$C$34,SUM(Popn!F$103:F$107)*Tracks!$B$34,SUM(Popn!F$14:F$18)*Tracks!$C$35,SUM(Popn!F$108:F$112)*Tracks!$B$35,SUM(Popn!F$19:F$23)*Tracks!$C$36,SUM(Popn!F$113:F$117)*Tracks!$B$36,SUM(Popn!F$24:F$28)*Tracks!$C$37,SUM(Popn!F$118:F$122)*Tracks!$B$37,SUM(Popn!F$29:F$38)*Tracks!$C$38,SUM(Popn!F$123:F$132)*Tracks!$B$38,SUM(Popn!F$39:F$48)*Tracks!$C$39,SUM(Popn!F$133:F$142)*Tracks!$B$39,SUM(Popn!F$49:F$58)*Tracks!$C$40,SUM(Popn!F$143:F$152)*Tracks!$B$40,SUM(Popn!F$59:F$68)*Tracks!$C$41,SUM(Popn!F$153:F$162)*Tracks!$B$41,SUM(Popn!F$69:F$73)*Tracks!$C$42,SUM(Popn!F$163:F$167)*Tracks!$B$42,SUM(Popn!F$74:F$99)*Tracks!$C$43,SUM(Popn!F$168:F$193)*Tracks!$B$43)/1000000000</f>
        <v>5.65051001</v>
      </c>
      <c r="G81" s="408">
        <f>SUM(SUM(Popn!G$9:G$13)*Tracks!$C$34,SUM(Popn!G$103:G$107)*Tracks!$B$34,SUM(Popn!G$14:G$18)*Tracks!$C$35,SUM(Popn!G$108:G$112)*Tracks!$B$35,SUM(Popn!G$19:G$23)*Tracks!$C$36,SUM(Popn!G$113:G$117)*Tracks!$B$36,SUM(Popn!G$24:G$28)*Tracks!$C$37,SUM(Popn!G$118:G$122)*Tracks!$B$37,SUM(Popn!G$29:G$38)*Tracks!$C$38,SUM(Popn!G$123:G$132)*Tracks!$B$38,SUM(Popn!G$39:G$48)*Tracks!$C$39,SUM(Popn!G$133:G$142)*Tracks!$B$39,SUM(Popn!G$49:G$58)*Tracks!$C$40,SUM(Popn!G$143:G$152)*Tracks!$B$40,SUM(Popn!G$59:G$68)*Tracks!$C$41,SUM(Popn!G$153:G$162)*Tracks!$B$41,SUM(Popn!G$69:G$73)*Tracks!$C$42,SUM(Popn!G$163:G$167)*Tracks!$B$42,SUM(Popn!G$74:G$99)*Tracks!$C$43,SUM(Popn!G$168:G$193)*Tracks!$B$43)/1000000000</f>
        <v>5.70686524</v>
      </c>
      <c r="H81" s="408">
        <f>SUM(SUM(Popn!H$9:H$13)*Tracks!$C$34,SUM(Popn!H$103:H$107)*Tracks!$B$34,SUM(Popn!H$14:H$18)*Tracks!$C$35,SUM(Popn!H$108:H$112)*Tracks!$B$35,SUM(Popn!H$19:H$23)*Tracks!$C$36,SUM(Popn!H$113:H$117)*Tracks!$B$36,SUM(Popn!H$24:H$28)*Tracks!$C$37,SUM(Popn!H$118:H$122)*Tracks!$B$37,SUM(Popn!H$29:H$38)*Tracks!$C$38,SUM(Popn!H$123:H$132)*Tracks!$B$38,SUM(Popn!H$39:H$48)*Tracks!$C$39,SUM(Popn!H$133:H$142)*Tracks!$B$39,SUM(Popn!H$49:H$58)*Tracks!$C$40,SUM(Popn!H$143:H$152)*Tracks!$B$40,SUM(Popn!H$59:H$68)*Tracks!$C$41,SUM(Popn!H$153:H$162)*Tracks!$B$41,SUM(Popn!H$69:H$73)*Tracks!$C$42,SUM(Popn!H$163:H$167)*Tracks!$B$42,SUM(Popn!H$74:H$99)*Tracks!$C$43,SUM(Popn!H$168:H$193)*Tracks!$B$43)/1000000000</f>
        <v>5.75547157</v>
      </c>
      <c r="I81" s="408">
        <f>SUM(SUM(Popn!I$9:I$13)*Tracks!$C$34,SUM(Popn!I$103:I$107)*Tracks!$B$34,SUM(Popn!I$14:I$18)*Tracks!$C$35,SUM(Popn!I$108:I$112)*Tracks!$B$35,SUM(Popn!I$19:I$23)*Tracks!$C$36,SUM(Popn!I$113:I$117)*Tracks!$B$36,SUM(Popn!I$24:I$28)*Tracks!$C$37,SUM(Popn!I$118:I$122)*Tracks!$B$37,SUM(Popn!I$29:I$38)*Tracks!$C$38,SUM(Popn!I$123:I$132)*Tracks!$B$38,SUM(Popn!I$39:I$48)*Tracks!$C$39,SUM(Popn!I$133:I$142)*Tracks!$B$39,SUM(Popn!I$49:I$58)*Tracks!$C$40,SUM(Popn!I$143:I$152)*Tracks!$B$40,SUM(Popn!I$59:I$68)*Tracks!$C$41,SUM(Popn!I$153:I$162)*Tracks!$B$41,SUM(Popn!I$69:I$73)*Tracks!$C$42,SUM(Popn!I$163:I$167)*Tracks!$B$42,SUM(Popn!I$74:I$99)*Tracks!$C$43,SUM(Popn!I$168:I$193)*Tracks!$B$43)/1000000000</f>
        <v>5.79026669</v>
      </c>
      <c r="J81" s="408">
        <f>SUM(SUM(Popn!J$9:J$13)*Tracks!$C$34,SUM(Popn!J$103:J$107)*Tracks!$B$34,SUM(Popn!J$14:J$18)*Tracks!$C$35,SUM(Popn!J$108:J$112)*Tracks!$B$35,SUM(Popn!J$19:J$23)*Tracks!$C$36,SUM(Popn!J$113:J$117)*Tracks!$B$36,SUM(Popn!J$24:J$28)*Tracks!$C$37,SUM(Popn!J$118:J$122)*Tracks!$B$37,SUM(Popn!J$29:J$38)*Tracks!$C$38,SUM(Popn!J$123:J$132)*Tracks!$B$38,SUM(Popn!J$39:J$48)*Tracks!$C$39,SUM(Popn!J$133:J$142)*Tracks!$B$39,SUM(Popn!J$49:J$58)*Tracks!$C$40,SUM(Popn!J$143:J$152)*Tracks!$B$40,SUM(Popn!J$59:J$68)*Tracks!$C$41,SUM(Popn!J$153:J$162)*Tracks!$B$41,SUM(Popn!J$69:J$73)*Tracks!$C$42,SUM(Popn!J$163:J$167)*Tracks!$B$42,SUM(Popn!J$74:J$99)*Tracks!$C$43,SUM(Popn!J$168:J$193)*Tracks!$B$43)/1000000000</f>
        <v>5.81749043</v>
      </c>
      <c r="K81" s="392">
        <f>SUM(SUM(Popn!K$9:K$13)*Tracks!$C$34,SUM(Popn!K$103:K$107)*Tracks!$B$34,SUM(Popn!K$14:K$18)*Tracks!$C$35,SUM(Popn!K$108:K$112)*Tracks!$B$35,SUM(Popn!K$19:K$23)*Tracks!$C$36,SUM(Popn!K$113:K$117)*Tracks!$B$36,SUM(Popn!K$24:K$28)*Tracks!$C$37,SUM(Popn!K$118:K$122)*Tracks!$B$37,SUM(Popn!K$29:K$38)*Tracks!$C$38,SUM(Popn!K$123:K$132)*Tracks!$B$38,SUM(Popn!K$39:K$48)*Tracks!$C$39,SUM(Popn!K$133:K$142)*Tracks!$B$39,SUM(Popn!K$49:K$58)*Tracks!$C$40,SUM(Popn!K$143:K$152)*Tracks!$B$40,SUM(Popn!K$59:K$68)*Tracks!$C$41,SUM(Popn!K$153:K$162)*Tracks!$B$41,SUM(Popn!K$69:K$73)*Tracks!$C$42,SUM(Popn!K$163:K$167)*Tracks!$B$42,SUM(Popn!K$74:K$99)*Tracks!$C$43,SUM(Popn!K$168:K$193)*Tracks!$B$43)/1000000000</f>
        <v>5.84174246</v>
      </c>
      <c r="L81" s="392">
        <f>SUM(SUM(Popn!L$9:L$13)*Tracks!$C$34,SUM(Popn!L$103:L$107)*Tracks!$B$34,SUM(Popn!L$14:L$18)*Tracks!$C$35,SUM(Popn!L$108:L$112)*Tracks!$B$35,SUM(Popn!L$19:L$23)*Tracks!$C$36,SUM(Popn!L$113:L$117)*Tracks!$B$36,SUM(Popn!L$24:L$28)*Tracks!$C$37,SUM(Popn!L$118:L$122)*Tracks!$B$37,SUM(Popn!L$29:L$38)*Tracks!$C$38,SUM(Popn!L$123:L$132)*Tracks!$B$38,SUM(Popn!L$39:L$48)*Tracks!$C$39,SUM(Popn!L$133:L$142)*Tracks!$B$39,SUM(Popn!L$49:L$58)*Tracks!$C$40,SUM(Popn!L$143:L$152)*Tracks!$B$40,SUM(Popn!L$59:L$68)*Tracks!$C$41,SUM(Popn!L$153:L$162)*Tracks!$B$41,SUM(Popn!L$69:L$73)*Tracks!$C$42,SUM(Popn!L$163:L$167)*Tracks!$B$42,SUM(Popn!L$74:L$99)*Tracks!$C$43,SUM(Popn!L$168:L$193)*Tracks!$B$43)/1000000000</f>
        <v>5.8647406</v>
      </c>
      <c r="M81" s="392">
        <f>SUM(SUM(Popn!M$9:M$13)*Tracks!$C$34,SUM(Popn!M$103:M$107)*Tracks!$B$34,SUM(Popn!M$14:M$18)*Tracks!$C$35,SUM(Popn!M$108:M$112)*Tracks!$B$35,SUM(Popn!M$19:M$23)*Tracks!$C$36,SUM(Popn!M$113:M$117)*Tracks!$B$36,SUM(Popn!M$24:M$28)*Tracks!$C$37,SUM(Popn!M$118:M$122)*Tracks!$B$37,SUM(Popn!M$29:M$38)*Tracks!$C$38,SUM(Popn!M$123:M$132)*Tracks!$B$38,SUM(Popn!M$39:M$48)*Tracks!$C$39,SUM(Popn!M$133:M$142)*Tracks!$B$39,SUM(Popn!M$49:M$58)*Tracks!$C$40,SUM(Popn!M$143:M$152)*Tracks!$B$40,SUM(Popn!M$59:M$68)*Tracks!$C$41,SUM(Popn!M$153:M$162)*Tracks!$B$41,SUM(Popn!M$69:M$73)*Tracks!$C$42,SUM(Popn!M$163:M$167)*Tracks!$B$42,SUM(Popn!M$74:M$99)*Tracks!$C$43,SUM(Popn!M$168:M$193)*Tracks!$B$43)/1000000000</f>
        <v>5.88494766</v>
      </c>
      <c r="N81" s="392">
        <f>SUM(SUM(Popn!N$9:N$13)*Tracks!$C$34,SUM(Popn!N$103:N$107)*Tracks!$B$34,SUM(Popn!N$14:N$18)*Tracks!$C$35,SUM(Popn!N$108:N$112)*Tracks!$B$35,SUM(Popn!N$19:N$23)*Tracks!$C$36,SUM(Popn!N$113:N$117)*Tracks!$B$36,SUM(Popn!N$24:N$28)*Tracks!$C$37,SUM(Popn!N$118:N$122)*Tracks!$B$37,SUM(Popn!N$29:N$38)*Tracks!$C$38,SUM(Popn!N$123:N$132)*Tracks!$B$38,SUM(Popn!N$39:N$48)*Tracks!$C$39,SUM(Popn!N$133:N$142)*Tracks!$B$39,SUM(Popn!N$49:N$58)*Tracks!$C$40,SUM(Popn!N$143:N$152)*Tracks!$B$40,SUM(Popn!N$59:N$68)*Tracks!$C$41,SUM(Popn!N$153:N$162)*Tracks!$B$41,SUM(Popn!N$69:N$73)*Tracks!$C$42,SUM(Popn!N$163:N$167)*Tracks!$B$42,SUM(Popn!N$74:N$99)*Tracks!$C$43,SUM(Popn!N$168:N$193)*Tracks!$B$43)/1000000000</f>
        <v>5.9047402</v>
      </c>
      <c r="O81" s="392">
        <f>SUM(SUM(Popn!O$9:O$13)*Tracks!$C$34,SUM(Popn!O$103:O$107)*Tracks!$B$34,SUM(Popn!O$14:O$18)*Tracks!$C$35,SUM(Popn!O$108:O$112)*Tracks!$B$35,SUM(Popn!O$19:O$23)*Tracks!$C$36,SUM(Popn!O$113:O$117)*Tracks!$B$36,SUM(Popn!O$24:O$28)*Tracks!$C$37,SUM(Popn!O$118:O$122)*Tracks!$B$37,SUM(Popn!O$29:O$38)*Tracks!$C$38,SUM(Popn!O$123:O$132)*Tracks!$B$38,SUM(Popn!O$39:O$48)*Tracks!$C$39,SUM(Popn!O$133:O$142)*Tracks!$B$39,SUM(Popn!O$49:O$58)*Tracks!$C$40,SUM(Popn!O$143:O$152)*Tracks!$B$40,SUM(Popn!O$59:O$68)*Tracks!$C$41,SUM(Popn!O$153:O$162)*Tracks!$B$41,SUM(Popn!O$69:O$73)*Tracks!$C$42,SUM(Popn!O$163:O$167)*Tracks!$B$42,SUM(Popn!O$74:O$99)*Tracks!$C$43,SUM(Popn!O$168:O$193)*Tracks!$B$43)/1000000000</f>
        <v>5.92218163</v>
      </c>
      <c r="P81" s="392">
        <f>SUM(SUM(Popn!P$9:P$13)*Tracks!$C$34,SUM(Popn!P$103:P$107)*Tracks!$B$34,SUM(Popn!P$14:P$18)*Tracks!$C$35,SUM(Popn!P$108:P$112)*Tracks!$B$35,SUM(Popn!P$19:P$23)*Tracks!$C$36,SUM(Popn!P$113:P$117)*Tracks!$B$36,SUM(Popn!P$24:P$28)*Tracks!$C$37,SUM(Popn!P$118:P$122)*Tracks!$B$37,SUM(Popn!P$29:P$38)*Tracks!$C$38,SUM(Popn!P$123:P$132)*Tracks!$B$38,SUM(Popn!P$39:P$48)*Tracks!$C$39,SUM(Popn!P$133:P$142)*Tracks!$B$39,SUM(Popn!P$49:P$58)*Tracks!$C$40,SUM(Popn!P$143:P$152)*Tracks!$B$40,SUM(Popn!P$59:P$68)*Tracks!$C$41,SUM(Popn!P$153:P$162)*Tracks!$B$41,SUM(Popn!P$69:P$73)*Tracks!$C$42,SUM(Popn!P$163:P$167)*Tracks!$B$42,SUM(Popn!P$74:P$99)*Tracks!$C$43,SUM(Popn!P$168:P$193)*Tracks!$B$43)/1000000000</f>
        <v>5.94150098</v>
      </c>
      <c r="Q81" s="392">
        <f>SUM(SUM(Popn!Q$9:Q$13)*Tracks!$C$34,SUM(Popn!Q$103:Q$107)*Tracks!$B$34,SUM(Popn!Q$14:Q$18)*Tracks!$C$35,SUM(Popn!Q$108:Q$112)*Tracks!$B$35,SUM(Popn!Q$19:Q$23)*Tracks!$C$36,SUM(Popn!Q$113:Q$117)*Tracks!$B$36,SUM(Popn!Q$24:Q$28)*Tracks!$C$37,SUM(Popn!Q$118:Q$122)*Tracks!$B$37,SUM(Popn!Q$29:Q$38)*Tracks!$C$38,SUM(Popn!Q$123:Q$132)*Tracks!$B$38,SUM(Popn!Q$39:Q$48)*Tracks!$C$39,SUM(Popn!Q$133:Q$142)*Tracks!$B$39,SUM(Popn!Q$49:Q$58)*Tracks!$C$40,SUM(Popn!Q$143:Q$152)*Tracks!$B$40,SUM(Popn!Q$59:Q$68)*Tracks!$C$41,SUM(Popn!Q$153:Q$162)*Tracks!$B$41,SUM(Popn!Q$69:Q$73)*Tracks!$C$42,SUM(Popn!Q$163:Q$167)*Tracks!$B$42,SUM(Popn!Q$74:Q$99)*Tracks!$C$43,SUM(Popn!Q$168:Q$193)*Tracks!$B$43)/1000000000</f>
        <v>5.96591406</v>
      </c>
      <c r="R81" s="392">
        <f>SUM(SUM(Popn!R$9:R$13)*Tracks!$C$34,SUM(Popn!R$103:R$107)*Tracks!$B$34,SUM(Popn!R$14:R$18)*Tracks!$C$35,SUM(Popn!R$108:R$112)*Tracks!$B$35,SUM(Popn!R$19:R$23)*Tracks!$C$36,SUM(Popn!R$113:R$117)*Tracks!$B$36,SUM(Popn!R$24:R$28)*Tracks!$C$37,SUM(Popn!R$118:R$122)*Tracks!$B$37,SUM(Popn!R$29:R$38)*Tracks!$C$38,SUM(Popn!R$123:R$132)*Tracks!$B$38,SUM(Popn!R$39:R$48)*Tracks!$C$39,SUM(Popn!R$133:R$142)*Tracks!$B$39,SUM(Popn!R$49:R$58)*Tracks!$C$40,SUM(Popn!R$143:R$152)*Tracks!$B$40,SUM(Popn!R$59:R$68)*Tracks!$C$41,SUM(Popn!R$153:R$162)*Tracks!$B$41,SUM(Popn!R$69:R$73)*Tracks!$C$42,SUM(Popn!R$163:R$167)*Tracks!$B$42,SUM(Popn!R$74:R$99)*Tracks!$C$43,SUM(Popn!R$168:R$193)*Tracks!$B$43)/1000000000</f>
        <v>5.98865928</v>
      </c>
      <c r="S81" s="392">
        <f>SUM(SUM(Popn!S$9:S$13)*Tracks!$C$34,SUM(Popn!S$103:S$107)*Tracks!$B$34,SUM(Popn!S$14:S$18)*Tracks!$C$35,SUM(Popn!S$108:S$112)*Tracks!$B$35,SUM(Popn!S$19:S$23)*Tracks!$C$36,SUM(Popn!S$113:S$117)*Tracks!$B$36,SUM(Popn!S$24:S$28)*Tracks!$C$37,SUM(Popn!S$118:S$122)*Tracks!$B$37,SUM(Popn!S$29:S$38)*Tracks!$C$38,SUM(Popn!S$123:S$132)*Tracks!$B$38,SUM(Popn!S$39:S$48)*Tracks!$C$39,SUM(Popn!S$133:S$142)*Tracks!$B$39,SUM(Popn!S$49:S$58)*Tracks!$C$40,SUM(Popn!S$143:S$152)*Tracks!$B$40,SUM(Popn!S$59:S$68)*Tracks!$C$41,SUM(Popn!S$153:S$162)*Tracks!$B$41,SUM(Popn!S$69:S$73)*Tracks!$C$42,SUM(Popn!S$163:S$167)*Tracks!$B$42,SUM(Popn!S$74:S$99)*Tracks!$C$43,SUM(Popn!S$168:S$193)*Tracks!$B$43)/1000000000</f>
        <v>6.01573035</v>
      </c>
      <c r="T81" s="392">
        <f>SUM(SUM(Popn!T$9:T$13)*Tracks!$C$34,SUM(Popn!T$103:T$107)*Tracks!$B$34,SUM(Popn!T$14:T$18)*Tracks!$C$35,SUM(Popn!T$108:T$112)*Tracks!$B$35,SUM(Popn!T$19:T$23)*Tracks!$C$36,SUM(Popn!T$113:T$117)*Tracks!$B$36,SUM(Popn!T$24:T$28)*Tracks!$C$37,SUM(Popn!T$118:T$122)*Tracks!$B$37,SUM(Popn!T$29:T$38)*Tracks!$C$38,SUM(Popn!T$123:T$132)*Tracks!$B$38,SUM(Popn!T$39:T$48)*Tracks!$C$39,SUM(Popn!T$133:T$142)*Tracks!$B$39,SUM(Popn!T$49:T$58)*Tracks!$C$40,SUM(Popn!T$143:T$152)*Tracks!$B$40,SUM(Popn!T$59:T$68)*Tracks!$C$41,SUM(Popn!T$153:T$162)*Tracks!$B$41,SUM(Popn!T$69:T$73)*Tracks!$C$42,SUM(Popn!T$163:T$167)*Tracks!$B$42,SUM(Popn!T$74:T$99)*Tracks!$C$43,SUM(Popn!T$168:T$193)*Tracks!$B$43)/1000000000</f>
        <v>6.05394595</v>
      </c>
    </row>
    <row r="82" spans="1:20" ht="12.75">
      <c r="A82" s="431"/>
      <c r="B82" s="432"/>
      <c r="C82" s="392"/>
      <c r="D82" s="392"/>
      <c r="E82" s="392"/>
      <c r="F82" s="392"/>
      <c r="G82" s="392"/>
      <c r="H82" s="392"/>
      <c r="I82" s="392"/>
      <c r="J82" s="392"/>
      <c r="T82" s="392"/>
    </row>
    <row r="83" spans="1:20" ht="12.75">
      <c r="A83" s="418" t="s">
        <v>687</v>
      </c>
      <c r="B83" s="425"/>
      <c r="C83" s="392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3"/>
      <c r="T83" s="433"/>
    </row>
    <row r="84" spans="1:20" ht="12.75">
      <c r="A84" s="403" t="s">
        <v>149</v>
      </c>
      <c r="B84" s="409"/>
      <c r="C84" s="392"/>
      <c r="D84" s="417">
        <f>Data!C$39</f>
        <v>10.355</v>
      </c>
      <c r="E84" s="417">
        <f>Data!D$39</f>
        <v>11.297</v>
      </c>
      <c r="F84" s="422">
        <f ca="1">Data!E$39+IF(OFFSET(Scenarios!$A$55,0,$C$1)="Yes",OFFSET(Scenarios!$A$56,0,$C$1)*F$110,0)</f>
        <v>12.395</v>
      </c>
      <c r="G84" s="422">
        <f ca="1">Data!F$39+IF(OFFSET(Scenarios!$A$55,0,$C$1)="Yes",OFFSET(Scenarios!$A$56,0,$C$1)*G$110,0)</f>
        <v>13.397</v>
      </c>
      <c r="H84" s="422">
        <f ca="1">Data!G$39+IF(OFFSET(Scenarios!$A$55,0,$C$1)="Yes",OFFSET(Scenarios!$A$56,0,$C$1)*H$110,0)</f>
        <v>13.371</v>
      </c>
      <c r="I84" s="422">
        <f ca="1">Data!H$39+IF(OFFSET(Scenarios!$A$55,0,$C$1)="Yes",OFFSET(Scenarios!$A$56,0,$C$1)*I$110,0)</f>
        <v>13.358</v>
      </c>
      <c r="J84" s="422">
        <f ca="1">Data!I$39+IF(OFFSET(Scenarios!$A$55,0,$C$1)="Yes",OFFSET(Scenarios!$A$56,0,$C$1)*J$110,0)</f>
        <v>13.324</v>
      </c>
      <c r="K84" s="423">
        <f ca="1">J$84*SUM(K$86,K$87)/SUM(J$86,J$87)+IF(OFFSET(Scenarios!$A$55,0,$C$1)="Yes",(K$110-J$110*SUM(K$86,K$87)/SUM(J$86,J$87))*OFFSET(Scenarios!$A$56,0,$C$1),0)</f>
        <v>13.539325918007686</v>
      </c>
      <c r="L84" s="423">
        <f ca="1">K$84*SUM(L$86,L$87)/SUM(K$86,K$87)+IF(OFFSET(Scenarios!$A$55,0,$C$1)="Yes",(L$110-K$110*SUM(L$86,L$87)/SUM(K$86,K$87))*OFFSET(Scenarios!$A$56,0,$C$1),0)</f>
        <v>13.764901852719865</v>
      </c>
      <c r="M84" s="423">
        <f ca="1">L$84*SUM(M$86,M$87)/SUM(L$86,L$87)+IF(OFFSET(Scenarios!$A$55,0,$C$1)="Yes",(M$110-L$110*SUM(M$86,M$87)/SUM(L$86,L$87))*OFFSET(Scenarios!$A$56,0,$C$1),0)</f>
        <v>13.998393295820518</v>
      </c>
      <c r="N84" s="423">
        <f ca="1">M$84*SUM(N$86,N$87)/SUM(M$86,M$87)+IF(OFFSET(Scenarios!$A$55,0,$C$1)="Yes",(N$110-M$110*SUM(N$86,N$87)/SUM(M$86,M$87))*OFFSET(Scenarios!$A$56,0,$C$1),0)</f>
        <v>14.24057621527226</v>
      </c>
      <c r="O84" s="423">
        <f ca="1">N$84*SUM(O$86,O$87)/SUM(N$86,N$87)+IF(OFFSET(Scenarios!$A$55,0,$C$1)="Yes",(O$110-N$110*SUM(O$86,O$87)/SUM(N$86,N$87))*OFFSET(Scenarios!$A$56,0,$C$1),0)</f>
        <v>14.473713960531576</v>
      </c>
      <c r="P84" s="423">
        <f ca="1">O$84*SUM(P$86,P$87)/SUM(O$86,O$87)+IF(OFFSET(Scenarios!$A$55,0,$C$1)="Yes",(P$110-O$110*SUM(P$86,P$87)/SUM(O$86,O$87))*OFFSET(Scenarios!$A$56,0,$C$1),0)</f>
        <v>14.713903235404358</v>
      </c>
      <c r="Q84" s="423">
        <f ca="1">P$84*SUM(Q$86,Q$87)/SUM(P$86,P$87)+IF(OFFSET(Scenarios!$A$55,0,$C$1)="Yes",(Q$110-P$110*SUM(Q$86,Q$87)/SUM(P$86,P$87))*OFFSET(Scenarios!$A$56,0,$C$1),0)</f>
        <v>14.962983849333353</v>
      </c>
      <c r="R84" s="423">
        <f ca="1">Q$84*SUM(R$86,R$87)/SUM(Q$86,Q$87)+IF(OFFSET(Scenarios!$A$55,0,$C$1)="Yes",(R$110-Q$110*SUM(R$86,R$87)/SUM(Q$86,Q$87))*OFFSET(Scenarios!$A$56,0,$C$1),0)</f>
        <v>15.224332784567611</v>
      </c>
      <c r="S84" s="423">
        <f ca="1">R$84*SUM(S$86,S$87)/SUM(R$86,R$87)+IF(OFFSET(Scenarios!$A$55,0,$C$1)="Yes",(S$110-R$110*SUM(S$86,S$87)/SUM(R$86,R$87))*OFFSET(Scenarios!$A$56,0,$C$1),0)</f>
        <v>15.503107906078148</v>
      </c>
      <c r="T84" s="423">
        <f ca="1">S$84*SUM(T$86,T$87)/SUM(S$86,S$87)+IF(OFFSET(Scenarios!$A$55,0,$C$1)="Yes",(T$110-S$110*SUM(T$86,T$87)/SUM(S$86,S$87))*OFFSET(Scenarios!$A$56,0,$C$1),0)</f>
        <v>15.766648899267937</v>
      </c>
    </row>
    <row r="85" spans="1:20" ht="12.75">
      <c r="A85" s="403" t="s">
        <v>150</v>
      </c>
      <c r="B85" s="409"/>
      <c r="C85" s="392"/>
      <c r="D85" s="417">
        <f>Data!C$21</f>
        <v>10.661</v>
      </c>
      <c r="E85" s="417">
        <f>Data!D$21</f>
        <v>10.809</v>
      </c>
      <c r="F85" s="422">
        <f ca="1">Data!E$21+IF(OFFSET(Scenarios!$A$55,0,$C$1)="Yes",OFFSET(Scenarios!$A$56,0,$C$1)*F$110,0)</f>
        <v>11.947</v>
      </c>
      <c r="G85" s="422">
        <f ca="1">Data!F$21+IF(OFFSET(Scenarios!$A$55,0,$C$1)="Yes",OFFSET(Scenarios!$A$56,0,$C$1)*G$110,0)</f>
        <v>12.815</v>
      </c>
      <c r="H85" s="422">
        <f ca="1">Data!G$21+IF(OFFSET(Scenarios!$A$55,0,$C$1)="Yes",OFFSET(Scenarios!$A$56,0,$C$1)*H$110,0)</f>
        <v>12.754</v>
      </c>
      <c r="I85" s="422">
        <f ca="1">Data!H$21+IF(OFFSET(Scenarios!$A$55,0,$C$1)="Yes",OFFSET(Scenarios!$A$56,0,$C$1)*I$110,0)</f>
        <v>12.713</v>
      </c>
      <c r="J85" s="422">
        <f ca="1">Data!I$21+IF(OFFSET(Scenarios!$A$55,0,$C$1)="Yes",OFFSET(Scenarios!$A$56,0,$C$1)*J$110,0)</f>
        <v>12.692</v>
      </c>
      <c r="K85" s="423">
        <f>SUM(K$84,(J$85-J$84)*SUM(K$86,K$87)/SUM(J$86,J$87))</f>
        <v>12.897112319975498</v>
      </c>
      <c r="L85" s="423">
        <f aca="true" t="shared" si="46" ref="L85:T85">SUM(L$84,(K$85-K$84)*SUM(L$86,L$87)/SUM(K$86,K$87))</f>
        <v>13.11198846552991</v>
      </c>
      <c r="M85" s="423">
        <f t="shared" si="46"/>
        <v>13.33440466155464</v>
      </c>
      <c r="N85" s="423">
        <f t="shared" si="46"/>
        <v>13.56510006936622</v>
      </c>
      <c r="O85" s="423">
        <f t="shared" si="46"/>
        <v>13.787179344571207</v>
      </c>
      <c r="P85" s="423">
        <f t="shared" si="46"/>
        <v>14.015975672752335</v>
      </c>
      <c r="Q85" s="423">
        <f t="shared" si="46"/>
        <v>14.253241595297128</v>
      </c>
      <c r="R85" s="423">
        <f t="shared" si="46"/>
        <v>14.502193913369268</v>
      </c>
      <c r="S85" s="423">
        <f t="shared" si="46"/>
        <v>14.767745837882307</v>
      </c>
      <c r="T85" s="423">
        <f t="shared" si="46"/>
        <v>15.018786237579455</v>
      </c>
    </row>
    <row r="86" spans="1:20" ht="12.75">
      <c r="A86" s="418" t="s">
        <v>688</v>
      </c>
      <c r="B86" s="425"/>
      <c r="C86" s="392"/>
      <c r="D86" s="407">
        <f>SUM(SUM(Popn!D$9:D$13)*Tracks!$M$50,SUM(Popn!D$14:D$18)*Tracks!$M$51,SUM(Popn!D$19:D$23)*Tracks!$M$52,SUM(Popn!D$24:D$28)*Tracks!$M$53,SUM(Popn!D$29:D$33)*Tracks!$M$54,SUM(Popn!D$34:D$38)*Tracks!$M$55,SUM(Popn!D$39:D$43)*Tracks!$M$56,SUM(Popn!D$44:D$48)*Tracks!$M$57,SUM(Popn!D$49:D$53)*Tracks!$M$58,SUM(Popn!D$54:D$58)*Tracks!$M$59,SUM(Popn!D$59:D$63)*Tracks!$M$60,SUM(Popn!D$64:D$68)*Tracks!$M$61,SUM(Popn!D$69:D$73)*Tracks!$M$62,SUM(Popn!D$74:D$78)*Tracks!$M$63,SUM(Popn!D$79:D$83)*Tracks!$M$64,SUM(Popn!D$84:D$88)*Tracks!$M$65,SUM(Popn!D$89:D$93)*Tracks!$M$66,SUM(Popn!D$94:D$99)*Tracks!$M$67)/1000000000</f>
        <v>4.304613645591327</v>
      </c>
      <c r="E86" s="407">
        <f>SUM(SUM(Popn!E$9:E$13)*Tracks!$M$50,SUM(Popn!E$14:E$18)*Tracks!$M$51,SUM(Popn!E$19:E$23)*Tracks!$M$52,SUM(Popn!E$24:E$28)*Tracks!$M$53,SUM(Popn!E$29:E$33)*Tracks!$M$54,SUM(Popn!E$34:E$38)*Tracks!$M$55,SUM(Popn!E$39:E$43)*Tracks!$M$56,SUM(Popn!E$44:E$48)*Tracks!$M$57,SUM(Popn!E$49:E$53)*Tracks!$M$58,SUM(Popn!E$54:E$58)*Tracks!$M$59,SUM(Popn!E$59:E$63)*Tracks!$M$60,SUM(Popn!E$64:E$68)*Tracks!$M$61,SUM(Popn!E$69:E$73)*Tracks!$M$62,SUM(Popn!E$74:E$78)*Tracks!$M$63,SUM(Popn!E$79:E$83)*Tracks!$M$64,SUM(Popn!E$84:E$88)*Tracks!$M$65,SUM(Popn!E$89:E$93)*Tracks!$M$66,SUM(Popn!E$94:E$99)*Tracks!$M$67)/1000000000</f>
        <v>4.389667405744005</v>
      </c>
      <c r="F86" s="408">
        <f>SUM(SUM(Popn!F$9:F$13)*Tracks!$M$50,SUM(Popn!F$14:F$18)*Tracks!$M$51,SUM(Popn!F$19:F$23)*Tracks!$M$52,SUM(Popn!F$24:F$28)*Tracks!$M$53,SUM(Popn!F$29:F$33)*Tracks!$M$54,SUM(Popn!F$34:F$38)*Tracks!$M$55,SUM(Popn!F$39:F$43)*Tracks!$M$56,SUM(Popn!F$44:F$48)*Tracks!$M$57,SUM(Popn!F$49:F$53)*Tracks!$M$58,SUM(Popn!F$54:F$58)*Tracks!$M$59,SUM(Popn!F$59:F$63)*Tracks!$M$60,SUM(Popn!F$64:F$68)*Tracks!$M$61,SUM(Popn!F$69:F$73)*Tracks!$M$62,SUM(Popn!F$74:F$78)*Tracks!$M$63,SUM(Popn!F$79:F$83)*Tracks!$M$64,SUM(Popn!F$84:F$88)*Tracks!$M$65,SUM(Popn!F$89:F$93)*Tracks!$M$66,SUM(Popn!F$94:F$99)*Tracks!$M$67)/1000000000</f>
        <v>4.47983232317292</v>
      </c>
      <c r="G86" s="408">
        <f>SUM(SUM(Popn!G$9:G$13)*Tracks!$M$50,SUM(Popn!G$14:G$18)*Tracks!$M$51,SUM(Popn!G$19:G$23)*Tracks!$M$52,SUM(Popn!G$24:G$28)*Tracks!$M$53,SUM(Popn!G$29:G$33)*Tracks!$M$54,SUM(Popn!G$34:G$38)*Tracks!$M$55,SUM(Popn!G$39:G$43)*Tracks!$M$56,SUM(Popn!G$44:G$48)*Tracks!$M$57,SUM(Popn!G$49:G$53)*Tracks!$M$58,SUM(Popn!G$54:G$58)*Tracks!$M$59,SUM(Popn!G$59:G$63)*Tracks!$M$60,SUM(Popn!G$64:G$68)*Tracks!$M$61,SUM(Popn!G$69:G$73)*Tracks!$M$62,SUM(Popn!G$74:G$78)*Tracks!$M$63,SUM(Popn!G$79:G$83)*Tracks!$M$64,SUM(Popn!G$84:G$88)*Tracks!$M$65,SUM(Popn!G$89:G$93)*Tracks!$M$66,SUM(Popn!G$94:G$99)*Tracks!$M$67)/1000000000</f>
        <v>4.574610697802314</v>
      </c>
      <c r="H86" s="408">
        <f>SUM(SUM(Popn!H$9:H$13)*Tracks!$M$50,SUM(Popn!H$14:H$18)*Tracks!$M$51,SUM(Popn!H$19:H$23)*Tracks!$M$52,SUM(Popn!H$24:H$28)*Tracks!$M$53,SUM(Popn!H$29:H$33)*Tracks!$M$54,SUM(Popn!H$34:H$38)*Tracks!$M$55,SUM(Popn!H$39:H$43)*Tracks!$M$56,SUM(Popn!H$44:H$48)*Tracks!$M$57,SUM(Popn!H$49:H$53)*Tracks!$M$58,SUM(Popn!H$54:H$58)*Tracks!$M$59,SUM(Popn!H$59:H$63)*Tracks!$M$60,SUM(Popn!H$64:H$68)*Tracks!$M$61,SUM(Popn!H$69:H$73)*Tracks!$M$62,SUM(Popn!H$74:H$78)*Tracks!$M$63,SUM(Popn!H$79:H$83)*Tracks!$M$64,SUM(Popn!H$84:H$88)*Tracks!$M$65,SUM(Popn!H$89:H$93)*Tracks!$M$66,SUM(Popn!H$94:H$99)*Tracks!$M$67)/1000000000</f>
        <v>4.665849213182913</v>
      </c>
      <c r="I86" s="408">
        <f>SUM(SUM(Popn!I$9:I$13)*Tracks!$M$50,SUM(Popn!I$14:I$18)*Tracks!$M$51,SUM(Popn!I$19:I$23)*Tracks!$M$52,SUM(Popn!I$24:I$28)*Tracks!$M$53,SUM(Popn!I$29:I$33)*Tracks!$M$54,SUM(Popn!I$34:I$38)*Tracks!$M$55,SUM(Popn!I$39:I$43)*Tracks!$M$56,SUM(Popn!I$44:I$48)*Tracks!$M$57,SUM(Popn!I$49:I$53)*Tracks!$M$58,SUM(Popn!I$54:I$58)*Tracks!$M$59,SUM(Popn!I$59:I$63)*Tracks!$M$60,SUM(Popn!I$64:I$68)*Tracks!$M$61,SUM(Popn!I$69:I$73)*Tracks!$M$62,SUM(Popn!I$74:I$78)*Tracks!$M$63,SUM(Popn!I$79:I$83)*Tracks!$M$64,SUM(Popn!I$84:I$88)*Tracks!$M$65,SUM(Popn!I$89:I$93)*Tracks!$M$66,SUM(Popn!I$94:I$99)*Tracks!$M$67)/1000000000</f>
        <v>4.756293728698284</v>
      </c>
      <c r="J86" s="408">
        <f>SUM(SUM(Popn!J$9:J$13)*Tracks!$M$50,SUM(Popn!J$14:J$18)*Tracks!$M$51,SUM(Popn!J$19:J$23)*Tracks!$M$52,SUM(Popn!J$24:J$28)*Tracks!$M$53,SUM(Popn!J$29:J$33)*Tracks!$M$54,SUM(Popn!J$34:J$38)*Tracks!$M$55,SUM(Popn!J$39:J$43)*Tracks!$M$56,SUM(Popn!J$44:J$48)*Tracks!$M$57,SUM(Popn!J$49:J$53)*Tracks!$M$58,SUM(Popn!J$54:J$58)*Tracks!$M$59,SUM(Popn!J$59:J$63)*Tracks!$M$60,SUM(Popn!J$64:J$68)*Tracks!$M$61,SUM(Popn!J$69:J$73)*Tracks!$M$62,SUM(Popn!J$74:J$78)*Tracks!$M$63,SUM(Popn!J$79:J$83)*Tracks!$M$64,SUM(Popn!J$84:J$88)*Tracks!$M$65,SUM(Popn!J$89:J$93)*Tracks!$M$66,SUM(Popn!J$94:J$99)*Tracks!$M$67)/1000000000</f>
        <v>4.839740780434063</v>
      </c>
      <c r="K86" s="392">
        <f>SUM(SUM(Popn!K$9:K$13)*Tracks!$M$50,SUM(Popn!K$14:K$18)*Tracks!$M$51,SUM(Popn!K$19:K$23)*Tracks!$M$52,SUM(Popn!K$24:K$28)*Tracks!$M$53,SUM(Popn!K$29:K$33)*Tracks!$M$54,SUM(Popn!K$34:K$38)*Tracks!$M$55,SUM(Popn!K$39:K$43)*Tracks!$M$56,SUM(Popn!K$44:K$48)*Tracks!$M$57,SUM(Popn!K$49:K$53)*Tracks!$M$58,SUM(Popn!K$54:K$58)*Tracks!$M$59,SUM(Popn!K$59:K$63)*Tracks!$M$60,SUM(Popn!K$64:K$68)*Tracks!$M$61,SUM(Popn!K$69:K$73)*Tracks!$M$62,SUM(Popn!K$74:K$78)*Tracks!$M$63,SUM(Popn!K$79:K$83)*Tracks!$M$64,SUM(Popn!K$84:K$88)*Tracks!$M$65,SUM(Popn!K$89:K$93)*Tracks!$M$66,SUM(Popn!K$94:K$99)*Tracks!$M$67)/1000000000</f>
        <v>4.92470563182218</v>
      </c>
      <c r="L86" s="392">
        <f>SUM(SUM(Popn!L$9:L$13)*Tracks!$M$50,SUM(Popn!L$14:L$18)*Tracks!$M$51,SUM(Popn!L$19:L$23)*Tracks!$M$52,SUM(Popn!L$24:L$28)*Tracks!$M$53,SUM(Popn!L$29:L$33)*Tracks!$M$54,SUM(Popn!L$34:L$38)*Tracks!$M$55,SUM(Popn!L$39:L$43)*Tracks!$M$56,SUM(Popn!L$44:L$48)*Tracks!$M$57,SUM(Popn!L$49:L$53)*Tracks!$M$58,SUM(Popn!L$54:L$58)*Tracks!$M$59,SUM(Popn!L$59:L$63)*Tracks!$M$60,SUM(Popn!L$64:L$68)*Tracks!$M$61,SUM(Popn!L$69:L$73)*Tracks!$M$62,SUM(Popn!L$74:L$78)*Tracks!$M$63,SUM(Popn!L$79:L$83)*Tracks!$M$64,SUM(Popn!L$84:L$88)*Tracks!$M$65,SUM(Popn!L$89:L$93)*Tracks!$M$66,SUM(Popn!L$94:L$99)*Tracks!$M$67)/1000000000</f>
        <v>5.012145802939092</v>
      </c>
      <c r="M86" s="392">
        <f>SUM(SUM(Popn!M$9:M$13)*Tracks!$M$50,SUM(Popn!M$14:M$18)*Tracks!$M$51,SUM(Popn!M$19:M$23)*Tracks!$M$52,SUM(Popn!M$24:M$28)*Tracks!$M$53,SUM(Popn!M$29:M$33)*Tracks!$M$54,SUM(Popn!M$34:M$38)*Tracks!$M$55,SUM(Popn!M$39:M$43)*Tracks!$M$56,SUM(Popn!M$44:M$48)*Tracks!$M$57,SUM(Popn!M$49:M$53)*Tracks!$M$58,SUM(Popn!M$54:M$58)*Tracks!$M$59,SUM(Popn!M$59:M$63)*Tracks!$M$60,SUM(Popn!M$64:M$68)*Tracks!$M$61,SUM(Popn!M$69:M$73)*Tracks!$M$62,SUM(Popn!M$74:M$78)*Tracks!$M$63,SUM(Popn!M$79:M$83)*Tracks!$M$64,SUM(Popn!M$84:M$88)*Tracks!$M$65,SUM(Popn!M$89:M$93)*Tracks!$M$66,SUM(Popn!M$94:M$99)*Tracks!$M$67)/1000000000</f>
        <v>5.101906488607617</v>
      </c>
      <c r="N86" s="392">
        <f>SUM(SUM(Popn!N$9:N$13)*Tracks!$M$50,SUM(Popn!N$14:N$18)*Tracks!$M$51,SUM(Popn!N$19:N$23)*Tracks!$M$52,SUM(Popn!N$24:N$28)*Tracks!$M$53,SUM(Popn!N$29:N$33)*Tracks!$M$54,SUM(Popn!N$34:N$38)*Tracks!$M$55,SUM(Popn!N$39:N$43)*Tracks!$M$56,SUM(Popn!N$44:N$48)*Tracks!$M$57,SUM(Popn!N$49:N$53)*Tracks!$M$58,SUM(Popn!N$54:N$58)*Tracks!$M$59,SUM(Popn!N$59:N$63)*Tracks!$M$60,SUM(Popn!N$64:N$68)*Tracks!$M$61,SUM(Popn!N$69:N$73)*Tracks!$M$62,SUM(Popn!N$74:N$78)*Tracks!$M$63,SUM(Popn!N$79:N$83)*Tracks!$M$64,SUM(Popn!N$84:N$88)*Tracks!$M$65,SUM(Popn!N$89:N$93)*Tracks!$M$66,SUM(Popn!N$94:N$99)*Tracks!$M$67)/1000000000</f>
        <v>5.1955651820848034</v>
      </c>
      <c r="O86" s="392">
        <f>SUM(SUM(Popn!O$9:O$13)*Tracks!$M$50,SUM(Popn!O$14:O$18)*Tracks!$M$51,SUM(Popn!O$19:O$23)*Tracks!$M$52,SUM(Popn!O$24:O$28)*Tracks!$M$53,SUM(Popn!O$29:O$33)*Tracks!$M$54,SUM(Popn!O$34:O$38)*Tracks!$M$55,SUM(Popn!O$39:O$43)*Tracks!$M$56,SUM(Popn!O$44:O$48)*Tracks!$M$57,SUM(Popn!O$49:O$53)*Tracks!$M$58,SUM(Popn!O$54:O$58)*Tracks!$M$59,SUM(Popn!O$59:O$63)*Tracks!$M$60,SUM(Popn!O$64:O$68)*Tracks!$M$61,SUM(Popn!O$69:O$73)*Tracks!$M$62,SUM(Popn!O$74:O$78)*Tracks!$M$63,SUM(Popn!O$79:O$83)*Tracks!$M$64,SUM(Popn!O$84:O$88)*Tracks!$M$65,SUM(Popn!O$89:O$93)*Tracks!$M$66,SUM(Popn!O$94:O$99)*Tracks!$M$67)/1000000000</f>
        <v>5.284968360544688</v>
      </c>
      <c r="P86" s="392">
        <f>SUM(SUM(Popn!P$9:P$13)*Tracks!$M$50,SUM(Popn!P$14:P$18)*Tracks!$M$51,SUM(Popn!P$19:P$23)*Tracks!$M$52,SUM(Popn!P$24:P$28)*Tracks!$M$53,SUM(Popn!P$29:P$33)*Tracks!$M$54,SUM(Popn!P$34:P$38)*Tracks!$M$55,SUM(Popn!P$39:P$43)*Tracks!$M$56,SUM(Popn!P$44:P$48)*Tracks!$M$57,SUM(Popn!P$49:P$53)*Tracks!$M$58,SUM(Popn!P$54:P$58)*Tracks!$M$59,SUM(Popn!P$59:P$63)*Tracks!$M$60,SUM(Popn!P$64:P$68)*Tracks!$M$61,SUM(Popn!P$69:P$73)*Tracks!$M$62,SUM(Popn!P$74:P$78)*Tracks!$M$63,SUM(Popn!P$79:P$83)*Tracks!$M$64,SUM(Popn!P$84:P$88)*Tracks!$M$65,SUM(Popn!P$89:P$93)*Tracks!$M$66,SUM(Popn!P$94:P$99)*Tracks!$M$67)/1000000000</f>
        <v>5.377549917437115</v>
      </c>
      <c r="Q86" s="392">
        <f>SUM(SUM(Popn!Q$9:Q$13)*Tracks!$M$50,SUM(Popn!Q$14:Q$18)*Tracks!$M$51,SUM(Popn!Q$19:Q$23)*Tracks!$M$52,SUM(Popn!Q$24:Q$28)*Tracks!$M$53,SUM(Popn!Q$29:Q$33)*Tracks!$M$54,SUM(Popn!Q$34:Q$38)*Tracks!$M$55,SUM(Popn!Q$39:Q$43)*Tracks!$M$56,SUM(Popn!Q$44:Q$48)*Tracks!$M$57,SUM(Popn!Q$49:Q$53)*Tracks!$M$58,SUM(Popn!Q$54:Q$58)*Tracks!$M$59,SUM(Popn!Q$59:Q$63)*Tracks!$M$60,SUM(Popn!Q$64:Q$68)*Tracks!$M$61,SUM(Popn!Q$69:Q$73)*Tracks!$M$62,SUM(Popn!Q$74:Q$78)*Tracks!$M$63,SUM(Popn!Q$79:Q$83)*Tracks!$M$64,SUM(Popn!Q$84:Q$88)*Tracks!$M$65,SUM(Popn!Q$89:Q$93)*Tracks!$M$66,SUM(Popn!Q$94:Q$99)*Tracks!$M$67)/1000000000</f>
        <v>5.472102216522479</v>
      </c>
      <c r="R86" s="392">
        <f>SUM(SUM(Popn!R$9:R$13)*Tracks!$M$50,SUM(Popn!R$14:R$18)*Tracks!$M$51,SUM(Popn!R$19:R$23)*Tracks!$M$52,SUM(Popn!R$24:R$28)*Tracks!$M$53,SUM(Popn!R$29:R$33)*Tracks!$M$54,SUM(Popn!R$34:R$38)*Tracks!$M$55,SUM(Popn!R$39:R$43)*Tracks!$M$56,SUM(Popn!R$44:R$48)*Tracks!$M$57,SUM(Popn!R$49:R$53)*Tracks!$M$58,SUM(Popn!R$54:R$58)*Tracks!$M$59,SUM(Popn!R$59:R$63)*Tracks!$M$60,SUM(Popn!R$64:R$68)*Tracks!$M$61,SUM(Popn!R$69:R$73)*Tracks!$M$62,SUM(Popn!R$74:R$78)*Tracks!$M$63,SUM(Popn!R$79:R$83)*Tracks!$M$64,SUM(Popn!R$84:R$88)*Tracks!$M$65,SUM(Popn!R$89:R$93)*Tracks!$M$66,SUM(Popn!R$94:R$99)*Tracks!$M$67)/1000000000</f>
        <v>5.5695204905866085</v>
      </c>
      <c r="S86" s="392">
        <f>SUM(SUM(Popn!S$9:S$13)*Tracks!$M$50,SUM(Popn!S$14:S$18)*Tracks!$M$51,SUM(Popn!S$19:S$23)*Tracks!$M$52,SUM(Popn!S$24:S$28)*Tracks!$M$53,SUM(Popn!S$29:S$33)*Tracks!$M$54,SUM(Popn!S$34:S$38)*Tracks!$M$55,SUM(Popn!S$39:S$43)*Tracks!$M$56,SUM(Popn!S$44:S$48)*Tracks!$M$57,SUM(Popn!S$49:S$53)*Tracks!$M$58,SUM(Popn!S$54:S$58)*Tracks!$M$59,SUM(Popn!S$59:S$63)*Tracks!$M$60,SUM(Popn!S$64:S$68)*Tracks!$M$61,SUM(Popn!S$69:S$73)*Tracks!$M$62,SUM(Popn!S$74:S$78)*Tracks!$M$63,SUM(Popn!S$79:S$83)*Tracks!$M$64,SUM(Popn!S$84:S$88)*Tracks!$M$65,SUM(Popn!S$89:S$93)*Tracks!$M$66,SUM(Popn!S$94:S$99)*Tracks!$M$67)/1000000000</f>
        <v>5.672334232960333</v>
      </c>
      <c r="T86" s="392">
        <f>SUM(SUM(Popn!T$9:T$13)*Tracks!$M$50,SUM(Popn!T$14:T$18)*Tracks!$M$51,SUM(Popn!T$19:T$23)*Tracks!$M$52,SUM(Popn!T$24:T$28)*Tracks!$M$53,SUM(Popn!T$29:T$33)*Tracks!$M$54,SUM(Popn!T$34:T$38)*Tracks!$M$55,SUM(Popn!T$39:T$43)*Tracks!$M$56,SUM(Popn!T$44:T$48)*Tracks!$M$57,SUM(Popn!T$49:T$53)*Tracks!$M$58,SUM(Popn!T$54:T$58)*Tracks!$M$59,SUM(Popn!T$59:T$63)*Tracks!$M$60,SUM(Popn!T$64:T$68)*Tracks!$M$61,SUM(Popn!T$69:T$73)*Tracks!$M$62,SUM(Popn!T$74:T$78)*Tracks!$M$63,SUM(Popn!T$79:T$83)*Tracks!$M$64,SUM(Popn!T$84:T$88)*Tracks!$M$65,SUM(Popn!T$89:T$93)*Tracks!$M$66,SUM(Popn!T$94:T$99)*Tracks!$M$67)/1000000000</f>
        <v>5.76937603607939</v>
      </c>
    </row>
    <row r="87" spans="1:20" ht="12.75">
      <c r="A87" s="418" t="s">
        <v>689</v>
      </c>
      <c r="B87" s="425"/>
      <c r="C87" s="392"/>
      <c r="D87" s="433">
        <f>SUM(SUM(Popn!D$103:D$107)*Tracks!$L$50,SUM(Popn!D$108:D$112)*Tracks!$L$51,SUM(Popn!D$113:D$117)*Tracks!$L$52,SUM(Popn!D$118:D$122)*Tracks!$L$53,SUM(Popn!D$123:D$127)*Tracks!$L$54,SUM(Popn!D$128:D$132)*Tracks!$L$55,SUM(Popn!D$133:D$137)*Tracks!$L$56,SUM(Popn!D$138:D$142)*Tracks!$L$57,SUM(Popn!D$143:D$147)*Tracks!$L$58,SUM(Popn!D$148:D$152)*Tracks!$L$59,SUM(Popn!D$153:D$157)*Tracks!$L$60,SUM(Popn!D$158:D$162)*Tracks!$L$61,SUM(Popn!D$163:D$167)*Tracks!$L$62,SUM(Popn!D$168:D$172)*Tracks!$L$63,SUM(Popn!D$173:D$177)*Tracks!$L$64,SUM(Popn!D$178:D$182)*Tracks!$L$65,SUM(Popn!D$183:D$187)*Tracks!$L$66,SUM(Popn!D$188:D$193)*Tracks!$L$67)/1000000000</f>
        <v>5.026236869049842</v>
      </c>
      <c r="E87" s="433">
        <f>SUM(SUM(Popn!E$103:E$107)*Tracks!$L$50,SUM(Popn!E$108:E$112)*Tracks!$L$51,SUM(Popn!E$113:E$117)*Tracks!$L$52,SUM(Popn!E$118:E$122)*Tracks!$L$53,SUM(Popn!E$123:E$127)*Tracks!$L$54,SUM(Popn!E$128:E$132)*Tracks!$L$55,SUM(Popn!E$133:E$137)*Tracks!$L$56,SUM(Popn!E$138:E$142)*Tracks!$L$57,SUM(Popn!E$143:E$147)*Tracks!$L$58,SUM(Popn!E$148:E$152)*Tracks!$L$59,SUM(Popn!E$153:E$157)*Tracks!$L$60,SUM(Popn!E$158:E$162)*Tracks!$L$61,SUM(Popn!E$163:E$167)*Tracks!$L$62,SUM(Popn!E$168:E$172)*Tracks!$L$63,SUM(Popn!E$173:E$177)*Tracks!$L$64,SUM(Popn!E$178:E$182)*Tracks!$L$65,SUM(Popn!E$183:E$187)*Tracks!$L$66,SUM(Popn!E$188:E$193)*Tracks!$L$67)/1000000000</f>
        <v>5.101575686657127</v>
      </c>
      <c r="F87" s="434">
        <f>SUM(SUM(Popn!F$103:F$107)*Tracks!$L$50,SUM(Popn!F$108:F$112)*Tracks!$L$51,SUM(Popn!F$113:F$117)*Tracks!$L$52,SUM(Popn!F$118:F$122)*Tracks!$L$53,SUM(Popn!F$123:F$127)*Tracks!$L$54,SUM(Popn!F$128:F$132)*Tracks!$L$55,SUM(Popn!F$133:F$137)*Tracks!$L$56,SUM(Popn!F$138:F$142)*Tracks!$L$57,SUM(Popn!F$143:F$147)*Tracks!$L$58,SUM(Popn!F$148:F$152)*Tracks!$L$59,SUM(Popn!F$153:F$157)*Tracks!$L$60,SUM(Popn!F$158:F$162)*Tracks!$L$61,SUM(Popn!F$163:F$167)*Tracks!$L$62,SUM(Popn!F$168:F$172)*Tracks!$L$63,SUM(Popn!F$173:F$177)*Tracks!$L$64,SUM(Popn!F$178:F$182)*Tracks!$L$65,SUM(Popn!F$183:F$187)*Tracks!$L$66,SUM(Popn!F$188:F$193)*Tracks!$L$67)/1000000000</f>
        <v>5.183975894328943</v>
      </c>
      <c r="G87" s="434">
        <f>SUM(SUM(Popn!G$103:G$107)*Tracks!$L$50,SUM(Popn!G$108:G$112)*Tracks!$L$51,SUM(Popn!G$113:G$117)*Tracks!$L$52,SUM(Popn!G$118:G$122)*Tracks!$L$53,SUM(Popn!G$123:G$127)*Tracks!$L$54,SUM(Popn!G$128:G$132)*Tracks!$L$55,SUM(Popn!G$133:G$137)*Tracks!$L$56,SUM(Popn!G$138:G$142)*Tracks!$L$57,SUM(Popn!G$143:G$147)*Tracks!$L$58,SUM(Popn!G$148:G$152)*Tracks!$L$59,SUM(Popn!G$153:G$157)*Tracks!$L$60,SUM(Popn!G$158:G$162)*Tracks!$L$61,SUM(Popn!G$163:G$167)*Tracks!$L$62,SUM(Popn!G$168:G$172)*Tracks!$L$63,SUM(Popn!G$173:G$177)*Tracks!$L$64,SUM(Popn!G$178:G$182)*Tracks!$L$65,SUM(Popn!G$183:G$187)*Tracks!$L$66,SUM(Popn!G$188:G$193)*Tracks!$L$67)/1000000000</f>
        <v>5.27492457648939</v>
      </c>
      <c r="H87" s="434">
        <f>SUM(SUM(Popn!H$103:H$107)*Tracks!$L$50,SUM(Popn!H$108:H$112)*Tracks!$L$51,SUM(Popn!H$113:H$117)*Tracks!$L$52,SUM(Popn!H$118:H$122)*Tracks!$L$53,SUM(Popn!H$123:H$127)*Tracks!$L$54,SUM(Popn!H$128:H$132)*Tracks!$L$55,SUM(Popn!H$133:H$137)*Tracks!$L$56,SUM(Popn!H$138:H$142)*Tracks!$L$57,SUM(Popn!H$143:H$147)*Tracks!$L$58,SUM(Popn!H$148:H$152)*Tracks!$L$59,SUM(Popn!H$153:H$157)*Tracks!$L$60,SUM(Popn!H$158:H$162)*Tracks!$L$61,SUM(Popn!H$163:H$167)*Tracks!$L$62,SUM(Popn!H$168:H$172)*Tracks!$L$63,SUM(Popn!H$173:H$177)*Tracks!$L$64,SUM(Popn!H$178:H$182)*Tracks!$L$65,SUM(Popn!H$183:H$187)*Tracks!$L$66,SUM(Popn!H$188:H$193)*Tracks!$L$67)/1000000000</f>
        <v>5.361946958760722</v>
      </c>
      <c r="I87" s="434">
        <f>SUM(SUM(Popn!I$103:I$107)*Tracks!$L$50,SUM(Popn!I$108:I$112)*Tracks!$L$51,SUM(Popn!I$113:I$117)*Tracks!$L$52,SUM(Popn!I$118:I$122)*Tracks!$L$53,SUM(Popn!I$123:I$127)*Tracks!$L$54,SUM(Popn!I$128:I$132)*Tracks!$L$55,SUM(Popn!I$133:I$137)*Tracks!$L$56,SUM(Popn!I$138:I$142)*Tracks!$L$57,SUM(Popn!I$143:I$147)*Tracks!$L$58,SUM(Popn!I$148:I$152)*Tracks!$L$59,SUM(Popn!I$153:I$157)*Tracks!$L$60,SUM(Popn!I$158:I$162)*Tracks!$L$61,SUM(Popn!I$163:I$167)*Tracks!$L$62,SUM(Popn!I$168:I$172)*Tracks!$L$63,SUM(Popn!I$173:I$177)*Tracks!$L$64,SUM(Popn!I$178:I$182)*Tracks!$L$65,SUM(Popn!I$183:I$187)*Tracks!$L$66,SUM(Popn!I$188:I$193)*Tracks!$L$67)/1000000000</f>
        <v>5.447386901978947</v>
      </c>
      <c r="J87" s="434">
        <f>SUM(SUM(Popn!J$103:J$107)*Tracks!$L$50,SUM(Popn!J$108:J$112)*Tracks!$L$51,SUM(Popn!J$113:J$117)*Tracks!$L$52,SUM(Popn!J$118:J$122)*Tracks!$L$53,SUM(Popn!J$123:J$127)*Tracks!$L$54,SUM(Popn!J$128:J$132)*Tracks!$L$55,SUM(Popn!J$133:J$137)*Tracks!$L$56,SUM(Popn!J$138:J$142)*Tracks!$L$57,SUM(Popn!J$143:J$147)*Tracks!$L$58,SUM(Popn!J$148:J$152)*Tracks!$L$59,SUM(Popn!J$153:J$157)*Tracks!$L$60,SUM(Popn!J$158:J$162)*Tracks!$L$61,SUM(Popn!J$163:J$167)*Tracks!$L$62,SUM(Popn!J$168:J$172)*Tracks!$L$63,SUM(Popn!J$173:J$177)*Tracks!$L$64,SUM(Popn!J$178:J$182)*Tracks!$L$65,SUM(Popn!J$183:J$187)*Tracks!$L$66,SUM(Popn!J$188:J$193)*Tracks!$L$67)/1000000000</f>
        <v>5.529586805477476</v>
      </c>
      <c r="K87" s="435">
        <f>SUM(SUM(Popn!K$103:K$107)*Tracks!$L$50,SUM(Popn!K$108:K$112)*Tracks!$L$51,SUM(Popn!K$113:K$117)*Tracks!$L$52,SUM(Popn!K$118:K$122)*Tracks!$L$53,SUM(Popn!K$123:K$127)*Tracks!$L$54,SUM(Popn!K$128:K$132)*Tracks!$L$55,SUM(Popn!K$133:K$137)*Tracks!$L$56,SUM(Popn!K$138:K$142)*Tracks!$L$57,SUM(Popn!K$143:K$147)*Tracks!$L$58,SUM(Popn!K$148:K$152)*Tracks!$L$59,SUM(Popn!K$153:K$157)*Tracks!$L$60,SUM(Popn!K$158:K$162)*Tracks!$L$61,SUM(Popn!K$163:K$167)*Tracks!$L$62,SUM(Popn!K$168:K$172)*Tracks!$L$63,SUM(Popn!K$173:K$177)*Tracks!$L$64,SUM(Popn!K$178:K$182)*Tracks!$L$65,SUM(Popn!K$183:K$187)*Tracks!$L$66,SUM(Popn!K$188:K$193)*Tracks!$L$67)/1000000000</f>
        <v>5.612198131030128</v>
      </c>
      <c r="L87" s="435">
        <f>SUM(SUM(Popn!L$103:L$107)*Tracks!$L$50,SUM(Popn!L$108:L$112)*Tracks!$L$51,SUM(Popn!L$113:L$117)*Tracks!$L$52,SUM(Popn!L$118:L$122)*Tracks!$L$53,SUM(Popn!L$123:L$127)*Tracks!$L$54,SUM(Popn!L$128:L$132)*Tracks!$L$55,SUM(Popn!L$133:L$137)*Tracks!$L$56,SUM(Popn!L$138:L$142)*Tracks!$L$57,SUM(Popn!L$143:L$147)*Tracks!$L$58,SUM(Popn!L$148:L$152)*Tracks!$L$59,SUM(Popn!L$153:L$157)*Tracks!$L$60,SUM(Popn!L$158:L$162)*Tracks!$L$61,SUM(Popn!L$163:L$167)*Tracks!$L$62,SUM(Popn!L$168:L$172)*Tracks!$L$63,SUM(Popn!L$173:L$177)*Tracks!$L$64,SUM(Popn!L$178:L$182)*Tracks!$L$65,SUM(Popn!L$183:L$187)*Tracks!$L$66,SUM(Popn!L$188:L$193)*Tracks!$L$67)/1000000000</f>
        <v>5.700311154338973</v>
      </c>
      <c r="M87" s="435">
        <f>SUM(SUM(Popn!M$103:M$107)*Tracks!$L$50,SUM(Popn!M$108:M$112)*Tracks!$L$51,SUM(Popn!M$113:M$117)*Tracks!$L$52,SUM(Popn!M$118:M$122)*Tracks!$L$53,SUM(Popn!M$123:M$127)*Tracks!$L$54,SUM(Popn!M$128:M$132)*Tracks!$L$55,SUM(Popn!M$133:M$137)*Tracks!$L$56,SUM(Popn!M$138:M$142)*Tracks!$L$57,SUM(Popn!M$143:M$147)*Tracks!$L$58,SUM(Popn!M$148:M$152)*Tracks!$L$59,SUM(Popn!M$153:M$157)*Tracks!$L$60,SUM(Popn!M$158:M$162)*Tracks!$L$61,SUM(Popn!M$163:M$167)*Tracks!$L$62,SUM(Popn!M$168:M$172)*Tracks!$L$63,SUM(Popn!M$173:M$177)*Tracks!$L$64,SUM(Popn!M$178:M$182)*Tracks!$L$65,SUM(Popn!M$183:M$187)*Tracks!$L$66,SUM(Popn!M$188:M$193)*Tracks!$L$67)/1000000000</f>
        <v>5.7922638626976095</v>
      </c>
      <c r="N87" s="435">
        <f>SUM(SUM(Popn!N$103:N$107)*Tracks!$L$50,SUM(Popn!N$108:N$112)*Tracks!$L$51,SUM(Popn!N$113:N$117)*Tracks!$L$52,SUM(Popn!N$118:N$122)*Tracks!$L$53,SUM(Popn!N$123:N$127)*Tracks!$L$54,SUM(Popn!N$128:N$132)*Tracks!$L$55,SUM(Popn!N$133:N$137)*Tracks!$L$56,SUM(Popn!N$138:N$142)*Tracks!$L$57,SUM(Popn!N$143:N$147)*Tracks!$L$58,SUM(Popn!N$148:N$152)*Tracks!$L$59,SUM(Popn!N$153:N$157)*Tracks!$L$60,SUM(Popn!N$158:N$162)*Tracks!$L$61,SUM(Popn!N$163:N$167)*Tracks!$L$62,SUM(Popn!N$168:N$172)*Tracks!$L$63,SUM(Popn!N$173:N$177)*Tracks!$L$64,SUM(Popn!N$178:N$182)*Tracks!$L$65,SUM(Popn!N$183:N$187)*Tracks!$L$66,SUM(Popn!N$188:N$193)*Tracks!$L$67)/1000000000</f>
        <v>5.887082655523901</v>
      </c>
      <c r="O87" s="435">
        <f>SUM(SUM(Popn!O$103:O$107)*Tracks!$L$50,SUM(Popn!O$108:O$112)*Tracks!$L$51,SUM(Popn!O$113:O$117)*Tracks!$L$52,SUM(Popn!O$118:O$122)*Tracks!$L$53,SUM(Popn!O$123:O$127)*Tracks!$L$54,SUM(Popn!O$128:O$132)*Tracks!$L$55,SUM(Popn!O$133:O$137)*Tracks!$L$56,SUM(Popn!O$138:O$142)*Tracks!$L$57,SUM(Popn!O$143:O$147)*Tracks!$L$58,SUM(Popn!O$148:O$152)*Tracks!$L$59,SUM(Popn!O$153:O$157)*Tracks!$L$60,SUM(Popn!O$158:O$162)*Tracks!$L$61,SUM(Popn!O$163:O$167)*Tracks!$L$62,SUM(Popn!O$168:O$172)*Tracks!$L$63,SUM(Popn!O$173:O$177)*Tracks!$L$64,SUM(Popn!O$178:O$182)*Tracks!$L$65,SUM(Popn!O$183:O$187)*Tracks!$L$66,SUM(Popn!O$188:O$193)*Tracks!$L$67)/1000000000</f>
        <v>5.979117607748095</v>
      </c>
      <c r="P87" s="435">
        <f>SUM(SUM(Popn!P$103:P$107)*Tracks!$L$50,SUM(Popn!P$108:P$112)*Tracks!$L$51,SUM(Popn!P$113:P$117)*Tracks!$L$52,SUM(Popn!P$118:P$122)*Tracks!$L$53,SUM(Popn!P$123:P$127)*Tracks!$L$54,SUM(Popn!P$128:P$132)*Tracks!$L$55,SUM(Popn!P$133:P$137)*Tracks!$L$56,SUM(Popn!P$138:P$142)*Tracks!$L$57,SUM(Popn!P$143:P$147)*Tracks!$L$58,SUM(Popn!P$148:P$152)*Tracks!$L$59,SUM(Popn!P$153:P$157)*Tracks!$L$60,SUM(Popn!P$158:P$162)*Tracks!$L$61,SUM(Popn!P$163:P$167)*Tracks!$L$62,SUM(Popn!P$168:P$172)*Tracks!$L$63,SUM(Popn!P$173:P$177)*Tracks!$L$64,SUM(Popn!P$178:P$182)*Tracks!$L$65,SUM(Popn!P$183:P$187)*Tracks!$L$66,SUM(Popn!P$188:P$193)*Tracks!$L$67)/1000000000</f>
        <v>6.073461994549636</v>
      </c>
      <c r="Q87" s="435">
        <f>SUM(SUM(Popn!Q$103:Q$107)*Tracks!$L$50,SUM(Popn!Q$108:Q$112)*Tracks!$L$51,SUM(Popn!Q$113:Q$117)*Tracks!$L$52,SUM(Popn!Q$118:Q$122)*Tracks!$L$53,SUM(Popn!Q$123:Q$127)*Tracks!$L$54,SUM(Popn!Q$128:Q$132)*Tracks!$L$55,SUM(Popn!Q$133:Q$137)*Tracks!$L$56,SUM(Popn!Q$138:Q$142)*Tracks!$L$57,SUM(Popn!Q$143:Q$147)*Tracks!$L$58,SUM(Popn!Q$148:Q$152)*Tracks!$L$59,SUM(Popn!Q$153:Q$157)*Tracks!$L$60,SUM(Popn!Q$158:Q$162)*Tracks!$L$61,SUM(Popn!Q$163:Q$167)*Tracks!$L$62,SUM(Popn!Q$168:Q$172)*Tracks!$L$63,SUM(Popn!Q$173:Q$177)*Tracks!$L$64,SUM(Popn!Q$178:Q$182)*Tracks!$L$65,SUM(Popn!Q$183:Q$187)*Tracks!$L$66,SUM(Popn!Q$188:Q$193)*Tracks!$L$67)/1000000000</f>
        <v>6.172755273453593</v>
      </c>
      <c r="R87" s="435">
        <f>SUM(SUM(Popn!R$103:R$107)*Tracks!$L$50,SUM(Popn!R$108:R$112)*Tracks!$L$51,SUM(Popn!R$113:R$117)*Tracks!$L$52,SUM(Popn!R$118:R$122)*Tracks!$L$53,SUM(Popn!R$123:R$127)*Tracks!$L$54,SUM(Popn!R$128:R$132)*Tracks!$L$55,SUM(Popn!R$133:R$137)*Tracks!$L$56,SUM(Popn!R$138:R$142)*Tracks!$L$57,SUM(Popn!R$143:R$147)*Tracks!$L$58,SUM(Popn!R$148:R$152)*Tracks!$L$59,SUM(Popn!R$153:R$157)*Tracks!$L$60,SUM(Popn!R$158:R$162)*Tracks!$L$61,SUM(Popn!R$163:R$167)*Tracks!$L$62,SUM(Popn!R$168:R$172)*Tracks!$L$63,SUM(Popn!R$173:R$177)*Tracks!$L$64,SUM(Popn!R$178:R$182)*Tracks!$L$65,SUM(Popn!R$183:R$187)*Tracks!$L$66,SUM(Popn!R$188:R$193)*Tracks!$L$67)/1000000000</f>
        <v>6.278730328995676</v>
      </c>
      <c r="S87" s="435">
        <f>SUM(SUM(Popn!S$103:S$107)*Tracks!$L$50,SUM(Popn!S$108:S$112)*Tracks!$L$51,SUM(Popn!S$113:S$117)*Tracks!$L$52,SUM(Popn!S$118:S$122)*Tracks!$L$53,SUM(Popn!S$123:S$127)*Tracks!$L$54,SUM(Popn!S$128:S$132)*Tracks!$L$55,SUM(Popn!S$133:S$137)*Tracks!$L$56,SUM(Popn!S$138:S$142)*Tracks!$L$57,SUM(Popn!S$143:S$147)*Tracks!$L$58,SUM(Popn!S$148:S$152)*Tracks!$L$59,SUM(Popn!S$153:S$157)*Tracks!$L$60,SUM(Popn!S$158:S$162)*Tracks!$L$61,SUM(Popn!S$163:S$167)*Tracks!$L$62,SUM(Popn!S$168:S$172)*Tracks!$L$63,SUM(Popn!S$173:S$177)*Tracks!$L$64,SUM(Popn!S$178:S$182)*Tracks!$L$65,SUM(Popn!S$183:S$187)*Tracks!$L$66,SUM(Popn!S$188:S$193)*Tracks!$L$67)/1000000000</f>
        <v>6.39287174706514</v>
      </c>
      <c r="T87" s="435">
        <f>SUM(SUM(Popn!T$103:T$107)*Tracks!$L$50,SUM(Popn!T$108:T$112)*Tracks!$L$51,SUM(Popn!T$113:T$117)*Tracks!$L$52,SUM(Popn!T$118:T$122)*Tracks!$L$53,SUM(Popn!T$123:T$127)*Tracks!$L$54,SUM(Popn!T$128:T$132)*Tracks!$L$55,SUM(Popn!T$133:T$137)*Tracks!$L$56,SUM(Popn!T$138:T$142)*Tracks!$L$57,SUM(Popn!T$143:T$147)*Tracks!$L$58,SUM(Popn!T$148:T$152)*Tracks!$L$59,SUM(Popn!T$153:T$157)*Tracks!$L$60,SUM(Popn!T$158:T$162)*Tracks!$L$61,SUM(Popn!T$163:T$167)*Tracks!$L$62,SUM(Popn!T$168:T$172)*Tracks!$L$63,SUM(Popn!T$173:T$177)*Tracks!$L$64,SUM(Popn!T$178:T$182)*Tracks!$L$65,SUM(Popn!T$183:T$187)*Tracks!$L$66,SUM(Popn!T$188:T$193)*Tracks!$L$67)/1000000000</f>
        <v>6.5009292302491</v>
      </c>
    </row>
    <row r="88" spans="1:20" ht="12.75">
      <c r="A88" s="418"/>
      <c r="B88" s="425"/>
      <c r="C88" s="392"/>
      <c r="D88" s="407"/>
      <c r="E88" s="407"/>
      <c r="F88" s="392"/>
      <c r="G88" s="392"/>
      <c r="H88" s="392"/>
      <c r="I88" s="392"/>
      <c r="J88" s="392"/>
      <c r="T88" s="392"/>
    </row>
    <row r="89" spans="1:20" ht="12.75">
      <c r="A89" s="418" t="s">
        <v>690</v>
      </c>
      <c r="B89" s="425"/>
      <c r="C89" s="392"/>
      <c r="D89" s="407"/>
      <c r="E89" s="407"/>
      <c r="F89" s="392"/>
      <c r="G89" s="392"/>
      <c r="H89" s="392"/>
      <c r="I89" s="392"/>
      <c r="J89" s="392"/>
      <c r="T89" s="392"/>
    </row>
    <row r="90" spans="1:20" ht="12.75">
      <c r="A90" s="403" t="s">
        <v>151</v>
      </c>
      <c r="B90" s="409"/>
      <c r="C90" s="392"/>
      <c r="D90" s="417">
        <f>Data!C$40</f>
        <v>9.269</v>
      </c>
      <c r="E90" s="417">
        <f>Data!D$40</f>
        <v>9.551</v>
      </c>
      <c r="F90" s="422">
        <f ca="1">Data!E$40+IF(OFFSET(Scenarios!$A$55,0,$C$1)="Yes",OFFSET(Scenarios!$A$57,0,$C$1)*F$110,0)</f>
        <v>10.964</v>
      </c>
      <c r="G90" s="422">
        <f ca="1">Data!F$40+IF(OFFSET(Scenarios!$A$55,0,$C$1)="Yes",OFFSET(Scenarios!$A$57,0,$C$1)*G$110,0)</f>
        <v>11.284</v>
      </c>
      <c r="H90" s="422">
        <f ca="1">Data!G$40+IF(OFFSET(Scenarios!$A$55,0,$C$1)="Yes",OFFSET(Scenarios!$A$57,0,$C$1)*H$110,0)</f>
        <v>11.304</v>
      </c>
      <c r="I90" s="422">
        <f ca="1">Data!H$40+IF(OFFSET(Scenarios!$A$55,0,$C$1)="Yes",OFFSET(Scenarios!$A$57,0,$C$1)*I$110,0)</f>
        <v>11.311</v>
      </c>
      <c r="J90" s="422">
        <f ca="1">Data!I$40+IF(OFFSET(Scenarios!$A$55,0,$C$1)="Yes",OFFSET(Scenarios!$A$57,0,$C$1)*J$110,0)</f>
        <v>11.332</v>
      </c>
      <c r="K90" s="423">
        <f ca="1">J$90*(1+AVERAGE(Popn!K$198:K$200))+IF(OFFSET(Scenarios!$A$55,0,$C$1)="Yes",(K$110-J$110*(1+AVERAGE(Popn!K$198:K$200)))*OFFSET(Scenarios!$A$57,0,$C$1),0)</f>
        <v>11.321034118463695</v>
      </c>
      <c r="L90" s="423">
        <f ca="1">K$90*(1+AVERAGE(Popn!L$198:L$200))+IF(OFFSET(Scenarios!$A$55,0,$C$1)="Yes",(L$110-K$110*(1+AVERAGE(Popn!L$198:L$200)))*OFFSET(Scenarios!$A$57,0,$C$1),0)</f>
        <v>11.282661433265156</v>
      </c>
      <c r="M90" s="423">
        <f ca="1">L$90*(1+AVERAGE(Popn!M$198:M$200))+IF(OFFSET(Scenarios!$A$55,0,$C$1)="Yes",(M$110-L$110*(1+AVERAGE(Popn!M$198:M$200)))*OFFSET(Scenarios!$A$57,0,$C$1),0)</f>
        <v>11.23034267973935</v>
      </c>
      <c r="N90" s="423">
        <f ca="1">M$90*(1+AVERAGE(Popn!N$198:N$200))+IF(OFFSET(Scenarios!$A$55,0,$C$1)="Yes",(N$110-M$110*(1+AVERAGE(Popn!N$198:N$200)))*OFFSET(Scenarios!$A$57,0,$C$1),0)</f>
        <v>11.189916569592693</v>
      </c>
      <c r="O90" s="423">
        <f ca="1">N$90*(1+AVERAGE(Popn!O$198:O$200))+IF(OFFSET(Scenarios!$A$55,0,$C$1)="Yes",(O$110-N$110*(1+AVERAGE(Popn!O$198:O$200)))*OFFSET(Scenarios!$A$57,0,$C$1),0)</f>
        <v>11.163407520166935</v>
      </c>
      <c r="P90" s="423">
        <f ca="1">O$90*(1+AVERAGE(Popn!P$198:P$200))+IF(OFFSET(Scenarios!$A$55,0,$C$1)="Yes",(P$110-O$110*(1+AVERAGE(Popn!P$198:P$200)))*OFFSET(Scenarios!$A$57,0,$C$1),0)</f>
        <v>11.1438441757164</v>
      </c>
      <c r="Q90" s="423">
        <f ca="1">P$90*(1+AVERAGE(Popn!Q$198:Q$200))+IF(OFFSET(Scenarios!$A$55,0,$C$1)="Yes",(Q$110-P$110*(1+AVERAGE(Popn!Q$198:Q$200)))*OFFSET(Scenarios!$A$57,0,$C$1),0)</f>
        <v>11.116129748585767</v>
      </c>
      <c r="R90" s="423">
        <f ca="1">Q$90*(1+AVERAGE(Popn!R$198:R$200))+IF(OFFSET(Scenarios!$A$55,0,$C$1)="Yes",(R$110-Q$110*(1+AVERAGE(Popn!R$198:R$200)))*OFFSET(Scenarios!$A$57,0,$C$1),0)</f>
        <v>11.098647766931556</v>
      </c>
      <c r="S90" s="423">
        <f ca="1">R$90*(1+AVERAGE(Popn!S$198:S$200))+IF(OFFSET(Scenarios!$A$55,0,$C$1)="Yes",(S$110-R$110*(1+AVERAGE(Popn!S$198:S$200)))*OFFSET(Scenarios!$A$57,0,$C$1),0)</f>
        <v>11.101966408790826</v>
      </c>
      <c r="T90" s="423">
        <f ca="1">S$90*(1+AVERAGE(Popn!T$198:T$200))+IF(OFFSET(Scenarios!$A$55,0,$C$1)="Yes",(T$110-S$110*(1+AVERAGE(Popn!T$198:T$200)))*OFFSET(Scenarios!$A$57,0,$C$1),0)</f>
        <v>11.10323199379076</v>
      </c>
    </row>
    <row r="91" spans="1:20" ht="12.75">
      <c r="A91" s="403" t="s">
        <v>152</v>
      </c>
      <c r="B91" s="409"/>
      <c r="C91" s="392"/>
      <c r="D91" s="417">
        <f>Data!C$22</f>
        <v>9.853</v>
      </c>
      <c r="E91" s="417">
        <f>Data!D$22</f>
        <v>10.397</v>
      </c>
      <c r="F91" s="422">
        <f ca="1">Data!E$22+IF(OFFSET(Scenarios!$A$55,0,$C$1)="Yes",OFFSET(Scenarios!$A$57,0,$C$1)*F$110,0)</f>
        <v>11.844</v>
      </c>
      <c r="G91" s="422">
        <f ca="1">Data!F$22+IF(OFFSET(Scenarios!$A$55,0,$C$1)="Yes",OFFSET(Scenarios!$A$57,0,$C$1)*G$110,0)</f>
        <v>12.147</v>
      </c>
      <c r="H91" s="422">
        <f ca="1">Data!G$22+IF(OFFSET(Scenarios!$A$55,0,$C$1)="Yes",OFFSET(Scenarios!$A$57,0,$C$1)*H$110,0)</f>
        <v>12.198</v>
      </c>
      <c r="I91" s="422">
        <f ca="1">Data!H$22+IF(OFFSET(Scenarios!$A$55,0,$C$1)="Yes",OFFSET(Scenarios!$A$57,0,$C$1)*I$110,0)</f>
        <v>12.237</v>
      </c>
      <c r="J91" s="422">
        <f ca="1">Data!I$22+IF(OFFSET(Scenarios!$A$55,0,$C$1)="Yes",OFFSET(Scenarios!$A$57,0,$C$1)*J$110,0)</f>
        <v>12.29</v>
      </c>
      <c r="K91" s="423">
        <f>SUM(K$90,(J$91-J$90)*(1+AVERAGE(Popn!K$198:K$200)))</f>
        <v>12.27810706988341</v>
      </c>
      <c r="L91" s="423">
        <f>SUM(L$90,(K$91-K$90)*(1+AVERAGE(Popn!L$198:L$200)))</f>
        <v>12.236490382529894</v>
      </c>
      <c r="M91" s="423">
        <f>SUM(M$90,(L$91-L$90)*(1+AVERAGE(Popn!M$198:M$200)))</f>
        <v>12.179748635192075</v>
      </c>
      <c r="N91" s="423">
        <f>SUM(N$90,(M$91-M$90)*(1+AVERAGE(Popn!N$198:N$200)))</f>
        <v>12.135904927664507</v>
      </c>
      <c r="O91" s="423">
        <f>SUM(O$90,(N$91-N$90)*(1+AVERAGE(Popn!O$198:O$200)))</f>
        <v>12.107154820230464</v>
      </c>
      <c r="P91" s="423">
        <f>SUM(P$90,(O$91-O$90)*(1+AVERAGE(Popn!P$198:P$200)))</f>
        <v>12.085937603208132</v>
      </c>
      <c r="Q91" s="423">
        <f>SUM(Q$90,(P$91-P$90)*(1+AVERAGE(Popn!Q$198:Q$200)))</f>
        <v>12.055880216212413</v>
      </c>
      <c r="R91" s="423">
        <f>SUM(R$90,(Q$91-Q$90)*(1+AVERAGE(Popn!R$198:R$200)))</f>
        <v>12.03692031906008</v>
      </c>
      <c r="S91" s="423">
        <f>SUM(S$90,(R$91-R$90)*(1+AVERAGE(Popn!S$198:S$200)))</f>
        <v>12.040519516770143</v>
      </c>
      <c r="T91" s="423">
        <f>SUM(T$90,(S$91-S$90)*(1+AVERAGE(Popn!T$198:T$200)))</f>
        <v>12.041892093512924</v>
      </c>
    </row>
    <row r="92" spans="1:20" ht="12.75">
      <c r="A92" s="403"/>
      <c r="B92" s="436"/>
      <c r="C92" s="437"/>
      <c r="D92" s="438"/>
      <c r="E92" s="438"/>
      <c r="F92" s="437"/>
      <c r="G92" s="437"/>
      <c r="H92" s="437"/>
      <c r="I92" s="437"/>
      <c r="J92" s="437"/>
      <c r="K92" s="439"/>
      <c r="L92" s="439"/>
      <c r="M92" s="439"/>
      <c r="N92" s="439"/>
      <c r="O92" s="439"/>
      <c r="P92" s="439"/>
      <c r="Q92" s="439"/>
      <c r="R92" s="439"/>
      <c r="S92" s="439"/>
      <c r="T92" s="439"/>
    </row>
    <row r="93" spans="1:20" ht="12.75">
      <c r="A93" s="418" t="s">
        <v>691</v>
      </c>
      <c r="C93" s="407"/>
      <c r="D93" s="407"/>
      <c r="E93" s="407"/>
      <c r="F93" s="407"/>
      <c r="G93" s="407"/>
      <c r="H93" s="407"/>
      <c r="I93" s="407"/>
      <c r="J93" s="407"/>
      <c r="T93" s="392"/>
    </row>
    <row r="94" spans="1:20" ht="12.75">
      <c r="A94" s="424" t="s">
        <v>394</v>
      </c>
      <c r="B94" s="409"/>
      <c r="C94" s="407"/>
      <c r="D94" s="407">
        <f>Data!C$38</f>
        <v>0.645</v>
      </c>
      <c r="E94" s="407">
        <f>Data!D$38</f>
        <v>0.69</v>
      </c>
      <c r="F94" s="408">
        <f>Data!E$38</f>
        <v>0.68</v>
      </c>
      <c r="G94" s="408">
        <f>Data!F$38</f>
        <v>0.37</v>
      </c>
      <c r="H94" s="408">
        <f>Data!G$38</f>
        <v>0.39</v>
      </c>
      <c r="I94" s="408">
        <f>Data!H$38</f>
        <v>0.437</v>
      </c>
      <c r="J94" s="408">
        <f>Data!I$38</f>
        <v>0.494</v>
      </c>
      <c r="K94" s="392">
        <f>J$94*Tracks!N$15/Tracks!M$15</f>
        <v>0.4909358491212022</v>
      </c>
      <c r="L94" s="392">
        <f>K$94*Tracks!O$15/Tracks!N$15</f>
        <v>0.4913052611827582</v>
      </c>
      <c r="M94" s="392">
        <f>L$94*Tracks!P$15/Tracks!O$15</f>
        <v>0.4936326769123068</v>
      </c>
      <c r="N94" s="392">
        <f>M$94*Tracks!Q$15/Tracks!P$15</f>
        <v>0.4950393502334878</v>
      </c>
      <c r="O94" s="392">
        <f>N$94*Tracks!R$15/Tracks!Q$15</f>
        <v>0.4955957378226161</v>
      </c>
      <c r="P94" s="392">
        <f>O$94*Tracks!S$15/Tracks!R$15</f>
        <v>0.49566970636963675</v>
      </c>
      <c r="Q94" s="392">
        <f>P$94*Tracks!T$15/Tracks!S$15</f>
        <v>0.49573597753113946</v>
      </c>
      <c r="R94" s="392">
        <f>Q$94*Tracks!U$15/Tracks!T$15</f>
        <v>0.49339138751502304</v>
      </c>
      <c r="S94" s="392">
        <f>R$94*Tracks!V$15/Tracks!U$15</f>
        <v>0.4896720732559272</v>
      </c>
      <c r="T94" s="392">
        <f>S$94*Tracks!W$15/Tracks!V$15</f>
        <v>0.48506112251752903</v>
      </c>
    </row>
    <row r="95" spans="1:20" ht="12.75">
      <c r="A95" s="424" t="s">
        <v>181</v>
      </c>
      <c r="B95" s="409"/>
      <c r="C95" s="407"/>
      <c r="D95" s="407">
        <f>Data!C$140</f>
        <v>0</v>
      </c>
      <c r="E95" s="407">
        <f>Data!D$140</f>
        <v>1.102</v>
      </c>
      <c r="F95" s="408">
        <f>Data!E$140</f>
        <v>1.42</v>
      </c>
      <c r="G95" s="408">
        <f>Data!F$140</f>
        <v>0.919</v>
      </c>
      <c r="H95" s="408">
        <f>Data!G$140</f>
        <v>0.94</v>
      </c>
      <c r="I95" s="408">
        <f>Data!H$140</f>
        <v>0.956</v>
      </c>
      <c r="J95" s="408">
        <f>Data!I$140</f>
        <v>0.982</v>
      </c>
      <c r="K95" s="392">
        <f>Tracks!H$107/1000</f>
        <v>0.986</v>
      </c>
      <c r="L95" s="392">
        <f>Tracks!I$107/1000</f>
        <v>0.998</v>
      </c>
      <c r="M95" s="392">
        <f>Tracks!J$107/1000</f>
        <v>1.015</v>
      </c>
      <c r="N95" s="392">
        <f>Tracks!K$107/1000</f>
        <v>1.023</v>
      </c>
      <c r="O95" s="392">
        <f>Tracks!L$107/1000</f>
        <v>1.036</v>
      </c>
      <c r="P95" s="392">
        <f>Tracks!M$107/1000</f>
        <v>1.05</v>
      </c>
      <c r="Q95" s="435">
        <f>P$95*(1+Popn!Q$197)</f>
        <v>1.058103844159692</v>
      </c>
      <c r="R95" s="392">
        <f>Q$95*(1+Popn!R$197)</f>
        <v>1.066018813421228</v>
      </c>
      <c r="S95" s="392">
        <f>R$95*(1+Popn!S$197)</f>
        <v>1.0738382342048738</v>
      </c>
      <c r="T95" s="392">
        <f>S$95*(1+Popn!T$197)</f>
        <v>1.0814421153988594</v>
      </c>
    </row>
    <row r="96" spans="1:20" ht="12.75">
      <c r="A96" s="226" t="s">
        <v>755</v>
      </c>
      <c r="B96" s="407"/>
      <c r="C96" s="407"/>
      <c r="D96" s="407">
        <f>D$178</f>
        <v>0</v>
      </c>
      <c r="E96" s="407">
        <f aca="true" t="shared" si="47" ref="E96:T96">E$178</f>
        <v>0</v>
      </c>
      <c r="F96" s="408">
        <f t="shared" si="47"/>
        <v>0.023</v>
      </c>
      <c r="G96" s="408">
        <f t="shared" si="47"/>
        <v>0.471</v>
      </c>
      <c r="H96" s="408">
        <f t="shared" si="47"/>
        <v>0.744</v>
      </c>
      <c r="I96" s="408">
        <f t="shared" si="47"/>
        <v>0.636</v>
      </c>
      <c r="J96" s="408">
        <f t="shared" si="47"/>
        <v>1.684</v>
      </c>
      <c r="K96" s="392">
        <f t="shared" si="47"/>
        <v>1.35</v>
      </c>
      <c r="L96" s="392">
        <f t="shared" si="47"/>
        <v>1.35</v>
      </c>
      <c r="M96" s="392">
        <f t="shared" si="47"/>
        <v>1.35</v>
      </c>
      <c r="N96" s="392">
        <f t="shared" si="47"/>
        <v>1.35</v>
      </c>
      <c r="O96" s="392">
        <f t="shared" si="47"/>
        <v>1.35</v>
      </c>
      <c r="P96" s="392">
        <f t="shared" si="47"/>
        <v>1.2479166666666666</v>
      </c>
      <c r="Q96" s="392">
        <f t="shared" si="47"/>
        <v>1.1458333333333335</v>
      </c>
      <c r="R96" s="392">
        <f t="shared" si="47"/>
        <v>1.04375</v>
      </c>
      <c r="S96" s="392">
        <f t="shared" si="47"/>
        <v>0.9416666666666667</v>
      </c>
      <c r="T96" s="392">
        <f t="shared" si="47"/>
        <v>0.8395833333333333</v>
      </c>
    </row>
    <row r="97" spans="1:20" ht="12.75">
      <c r="A97" s="226" t="s">
        <v>802</v>
      </c>
      <c r="B97" s="407"/>
      <c r="C97" s="407"/>
      <c r="D97" s="407">
        <f>D$138</f>
        <v>0.119</v>
      </c>
      <c r="E97" s="407">
        <f aca="true" t="shared" si="48" ref="E97:T97">E$138</f>
        <v>0.097</v>
      </c>
      <c r="F97" s="408">
        <f t="shared" si="48"/>
        <v>0.103</v>
      </c>
      <c r="G97" s="408">
        <f t="shared" si="48"/>
        <v>0.111</v>
      </c>
      <c r="H97" s="408">
        <f t="shared" si="48"/>
        <v>0.115</v>
      </c>
      <c r="I97" s="408">
        <f t="shared" si="48"/>
        <v>0.125</v>
      </c>
      <c r="J97" s="408">
        <f t="shared" si="48"/>
        <v>0.136</v>
      </c>
      <c r="K97" s="392">
        <f t="shared" si="48"/>
        <v>0.11641354042553193</v>
      </c>
      <c r="L97" s="392">
        <f t="shared" si="48"/>
        <v>0.12406656657310641</v>
      </c>
      <c r="M97" s="392">
        <f t="shared" si="48"/>
        <v>0.1322227026596224</v>
      </c>
      <c r="N97" s="392">
        <f t="shared" si="48"/>
        <v>0.14091502313246598</v>
      </c>
      <c r="O97" s="392">
        <f t="shared" si="48"/>
        <v>0.15017877675319433</v>
      </c>
      <c r="P97" s="392">
        <f t="shared" si="48"/>
        <v>0.16005152953694932</v>
      </c>
      <c r="Q97" s="392">
        <f t="shared" si="48"/>
        <v>0.17057331708870835</v>
      </c>
      <c r="R97" s="392">
        <f t="shared" si="48"/>
        <v>0.19005820756433556</v>
      </c>
      <c r="S97" s="392">
        <f t="shared" si="48"/>
        <v>0.2196024361619541</v>
      </c>
      <c r="T97" s="392">
        <f t="shared" si="48"/>
        <v>0.25033387511563365</v>
      </c>
    </row>
    <row r="98" spans="1:20" ht="12.75">
      <c r="A98" s="93" t="s">
        <v>420</v>
      </c>
      <c r="B98" s="409"/>
      <c r="C98" s="407"/>
      <c r="D98" s="407">
        <f>Data!C$42</f>
        <v>2.699</v>
      </c>
      <c r="E98" s="407">
        <f>Data!D$42</f>
        <v>2.894</v>
      </c>
      <c r="F98" s="408">
        <f ca="1">Data!E$42+IF(OFFSET(Scenarios!$A$55,0,$C$1)="Yes",OFFSET(Scenarios!$A$58,0,$C$1)*F$110,0)</f>
        <v>3.116</v>
      </c>
      <c r="G98" s="408">
        <f ca="1">Data!F$42+IF(OFFSET(Scenarios!$A$55,0,$C$1)="Yes",OFFSET(Scenarios!$A$58,0,$C$1)*G$110,0)</f>
        <v>3.267</v>
      </c>
      <c r="H98" s="408">
        <f ca="1">Data!G$42+IF(OFFSET(Scenarios!$A$55,0,$C$1)="Yes",OFFSET(Scenarios!$A$58,0,$C$1)*H$110,0)</f>
        <v>3.302</v>
      </c>
      <c r="I98" s="408">
        <f ca="1">Data!H$42+IF(OFFSET(Scenarios!$A$55,0,$C$1)="Yes",OFFSET(Scenarios!$A$58,0,$C$1)*I$110,0)</f>
        <v>3.302</v>
      </c>
      <c r="J98" s="408">
        <f ca="1">Data!I$42+IF(OFFSET(Scenarios!$A$55,0,$C$1)="Yes",OFFSET(Scenarios!$A$58,0,$C$1)*J$110,0)</f>
        <v>3.319</v>
      </c>
      <c r="K98" s="392">
        <f ca="1">J$98*(1+K$209)+IF(OFFSET(Scenarios!$A$55,0,$C$1)="Yes",(K$110-J$110*(1+K$209))*OFFSET(Scenarios!$A$58,0,$C$1),0)</f>
        <v>3.3521439898713234</v>
      </c>
      <c r="L98" s="392">
        <f ca="1">K$98*(1+L$209)+IF(OFFSET(Scenarios!$A$55,0,$C$1)="Yes",(L$110-K$110*(1+L$209))*OFFSET(Scenarios!$A$58,0,$C$1),0)</f>
        <v>3.3867536249706536</v>
      </c>
      <c r="M98" s="392">
        <f ca="1">L$98*(1+M$209)+IF(OFFSET(Scenarios!$A$55,0,$C$1)="Yes",(M$110-L$110*(1+M$209))*OFFSET(Scenarios!$A$58,0,$C$1),0)</f>
        <v>3.4199996534338006</v>
      </c>
      <c r="N98" s="392">
        <f ca="1">M$98*(1+N$209)+IF(OFFSET(Scenarios!$A$55,0,$C$1)="Yes",(N$110-M$110*(1+N$209))*OFFSET(Scenarios!$A$58,0,$C$1),0)</f>
        <v>3.4508802418137714</v>
      </c>
      <c r="O98" s="392">
        <f ca="1">N$98*(1+O$209)+IF(OFFSET(Scenarios!$A$55,0,$C$1)="Yes",(O$110-N$110*(1+O$209))*OFFSET(Scenarios!$A$58,0,$C$1),0)</f>
        <v>3.481983459848629</v>
      </c>
      <c r="P98" s="392">
        <f ca="1">O$98*(1+P$209)+IF(OFFSET(Scenarios!$A$55,0,$C$1)="Yes",(P$110-O$110*(1+P$209))*OFFSET(Scenarios!$A$58,0,$C$1),0)</f>
        <v>3.5141627212154414</v>
      </c>
      <c r="Q98" s="392">
        <f ca="1">P$98*(1+Q$209)+IF(OFFSET(Scenarios!$A$55,0,$C$1)="Yes",(Q$110-P$110*(1+Q$209))*OFFSET(Scenarios!$A$58,0,$C$1),0)</f>
        <v>3.5457390272669342</v>
      </c>
      <c r="R98" s="392">
        <f ca="1">Q$98*(1+R$209)+IF(OFFSET(Scenarios!$A$55,0,$C$1)="Yes",(R$110-Q$110*(1+R$209))*OFFSET(Scenarios!$A$58,0,$C$1),0)</f>
        <v>3.5782058519379762</v>
      </c>
      <c r="S98" s="392">
        <f ca="1">R$98*(1+S$209)+IF(OFFSET(Scenarios!$A$55,0,$C$1)="Yes",(S$110-R$110*(1+S$209))*OFFSET(Scenarios!$A$58,0,$C$1),0)</f>
        <v>3.613028840456573</v>
      </c>
      <c r="T98" s="392">
        <f ca="1">S$98*(1+T$209)+IF(OFFSET(Scenarios!$A$55,0,$C$1)="Yes",(T$110-S$110*(1+T$209))*OFFSET(Scenarios!$A$58,0,$C$1),0)</f>
        <v>3.649502998915583</v>
      </c>
    </row>
    <row r="99" spans="1:20" ht="12.75">
      <c r="A99" s="93" t="s">
        <v>521</v>
      </c>
      <c r="B99" s="409"/>
      <c r="C99" s="407"/>
      <c r="D99" s="407">
        <f>Data!C$43</f>
        <v>1.517</v>
      </c>
      <c r="E99" s="407">
        <f>Data!D$43</f>
        <v>1.562</v>
      </c>
      <c r="F99" s="408">
        <f ca="1">Data!E$43+IF(OFFSET(Scenarios!$A$55,0,$C$1)="Yes",OFFSET(Scenarios!$A$59,0,$C$1)*F$110,0)</f>
        <v>1.735</v>
      </c>
      <c r="G99" s="408">
        <f ca="1">Data!F$43+IF(OFFSET(Scenarios!$A$55,0,$C$1)="Yes",OFFSET(Scenarios!$A$59,0,$C$1)*G$110,0)</f>
        <v>1.81</v>
      </c>
      <c r="H99" s="408">
        <f ca="1">Data!G$43+IF(OFFSET(Scenarios!$A$55,0,$C$1)="Yes",OFFSET(Scenarios!$A$59,0,$C$1)*H$110,0)</f>
        <v>1.807</v>
      </c>
      <c r="I99" s="408">
        <f ca="1">Data!H$43+IF(OFFSET(Scenarios!$A$55,0,$C$1)="Yes",OFFSET(Scenarios!$A$59,0,$C$1)*I$110,0)</f>
        <v>1.797</v>
      </c>
      <c r="J99" s="408">
        <f ca="1">Data!I$43+IF(OFFSET(Scenarios!$A$55,0,$C$1)="Yes",OFFSET(Scenarios!$A$59,0,$C$1)*J$110,0)</f>
        <v>1.796</v>
      </c>
      <c r="K99" s="392">
        <f ca="1">J$99*(1+K$209)+IF(OFFSET(Scenarios!$A$55,0,$C$1)="Yes",(K$110-J$110*(1+K$209))*OFFSET(Scenarios!$A$59,0,$C$1),0)</f>
        <v>1.8139351026842112</v>
      </c>
      <c r="L99" s="392">
        <f ca="1">K$99*(1+L$209)+IF(OFFSET(Scenarios!$A$55,0,$C$1)="Yes",(L$110-K$110*(1+L$209))*OFFSET(Scenarios!$A$59,0,$C$1),0)</f>
        <v>1.832663305347181</v>
      </c>
      <c r="M99" s="392">
        <f ca="1">L$99*(1+M$209)+IF(OFFSET(Scenarios!$A$55,0,$C$1)="Yes",(M$110-L$110*(1+M$209))*OFFSET(Scenarios!$A$59,0,$C$1),0)</f>
        <v>1.8506536238526983</v>
      </c>
      <c r="N99" s="392">
        <f ca="1">M$99*(1+N$209)+IF(OFFSET(Scenarios!$A$55,0,$C$1)="Yes",(N$110-M$110*(1+N$209))*OFFSET(Scenarios!$A$59,0,$C$1),0)</f>
        <v>1.86736393922794</v>
      </c>
      <c r="O99" s="392">
        <f ca="1">N$99*(1+O$209)+IF(OFFSET(Scenarios!$A$55,0,$C$1)="Yes",(O$110-N$110*(1+O$209))*OFFSET(Scenarios!$A$59,0,$C$1),0)</f>
        <v>1.884194725486031</v>
      </c>
      <c r="P99" s="392">
        <f ca="1">O$99*(1+P$209)+IF(OFFSET(Scenarios!$A$55,0,$C$1)="Yes",(P$110-O$110*(1+P$209))*OFFSET(Scenarios!$A$59,0,$C$1),0)</f>
        <v>1.9016077876778945</v>
      </c>
      <c r="Q99" s="392">
        <f ca="1">P$99*(1+Q$209)+IF(OFFSET(Scenarios!$A$55,0,$C$1)="Yes",(Q$110-P$110*(1+Q$209))*OFFSET(Scenarios!$A$59,0,$C$1),0)</f>
        <v>1.9186945745620407</v>
      </c>
      <c r="R99" s="392">
        <f ca="1">Q$99*(1+R$209)+IF(OFFSET(Scenarios!$A$55,0,$C$1)="Yes",(R$110-Q$110*(1+R$209))*OFFSET(Scenarios!$A$59,0,$C$1),0)</f>
        <v>1.936263244977585</v>
      </c>
      <c r="S99" s="392">
        <f ca="1">R$99*(1+S$209)+IF(OFFSET(Scenarios!$A$55,0,$C$1)="Yes",(S$110-R$110*(1+S$209))*OFFSET(Scenarios!$A$59,0,$C$1),0)</f>
        <v>1.9551068989032856</v>
      </c>
      <c r="T99" s="392">
        <f ca="1">S$99*(1+T$209)+IF(OFFSET(Scenarios!$A$55,0,$C$1)="Yes",(T$110-S$110*(1+T$209))*OFFSET(Scenarios!$A$59,0,$C$1),0)</f>
        <v>1.9748440452101197</v>
      </c>
    </row>
    <row r="100" spans="1:20" ht="12.75">
      <c r="A100" s="93" t="s">
        <v>414</v>
      </c>
      <c r="B100" s="409"/>
      <c r="C100" s="407"/>
      <c r="D100" s="407">
        <f>Data!C$44</f>
        <v>2.405</v>
      </c>
      <c r="E100" s="407">
        <f>Data!D$44</f>
        <v>2.244</v>
      </c>
      <c r="F100" s="408">
        <f ca="1">Data!E$44+IF(OFFSET(Scenarios!$A$55,0,$C$1)="Yes",OFFSET(Scenarios!$A$60,0,$C$1)*F$110,0)</f>
        <v>2.954</v>
      </c>
      <c r="G100" s="408">
        <f ca="1">Data!F$44+IF(OFFSET(Scenarios!$A$55,0,$C$1)="Yes",OFFSET(Scenarios!$A$60,0,$C$1)*G$110,0)</f>
        <v>2.253</v>
      </c>
      <c r="H100" s="408">
        <f ca="1">Data!G$44+IF(OFFSET(Scenarios!$A$55,0,$C$1)="Yes",OFFSET(Scenarios!$A$60,0,$C$1)*H$110,0)</f>
        <v>1.864</v>
      </c>
      <c r="I100" s="408">
        <f ca="1">Data!H$44+IF(OFFSET(Scenarios!$A$55,0,$C$1)="Yes",OFFSET(Scenarios!$A$60,0,$C$1)*I$110,0)</f>
        <v>1.74</v>
      </c>
      <c r="J100" s="408">
        <f ca="1">Data!I$44+IF(OFFSET(Scenarios!$A$55,0,$C$1)="Yes",OFFSET(Scenarios!$A$60,0,$C$1)*J$110,0)</f>
        <v>1.615</v>
      </c>
      <c r="K100" s="392">
        <f ca="1">J$100*(1+K$209)+IF(OFFSET(Scenarios!$A$55,0,$C$1)="Yes",(K$110-J$110*(1+K$209))*OFFSET(Scenarios!$A$60,0,$C$1),0)</f>
        <v>1.6311276118234972</v>
      </c>
      <c r="L100" s="392">
        <f ca="1">K$100*(1+L$209)+IF(OFFSET(Scenarios!$A$55,0,$C$1)="Yes",(L$110-K$110*(1+L$209))*OFFSET(Scenarios!$A$60,0,$C$1),0)</f>
        <v>1.6479683953984952</v>
      </c>
      <c r="M100" s="392">
        <f ca="1">L$100*(1+M$209)+IF(OFFSET(Scenarios!$A$55,0,$C$1)="Yes",(M$110-L$110*(1+M$209))*OFFSET(Scenarios!$A$60,0,$C$1),0)</f>
        <v>1.6641456584198817</v>
      </c>
      <c r="N100" s="392">
        <f ca="1">M$100*(1+N$209)+IF(OFFSET(Scenarios!$A$55,0,$C$1)="Yes",(N$110-M$110*(1+N$209))*OFFSET(Scenarios!$A$60,0,$C$1),0)</f>
        <v>1.679171916399289</v>
      </c>
      <c r="O100" s="392">
        <f ca="1">N$100*(1+O$209)+IF(OFFSET(Scenarios!$A$55,0,$C$1)="Yes",(O$110-N$110*(1+O$209))*OFFSET(Scenarios!$A$60,0,$C$1),0)</f>
        <v>1.694306504265</v>
      </c>
      <c r="P100" s="392">
        <f ca="1">O$100*(1+P$209)+IF(OFFSET(Scenarios!$A$55,0,$C$1)="Yes",(P$110-O$110*(1+P$209))*OFFSET(Scenarios!$A$60,0,$C$1),0)</f>
        <v>1.7099646865811804</v>
      </c>
      <c r="Q100" s="392">
        <f ca="1">P$100*(1+Q$209)+IF(OFFSET(Scenarios!$A$55,0,$C$1)="Yes",(Q$110-P$110*(1+Q$209))*OFFSET(Scenarios!$A$60,0,$C$1),0)</f>
        <v>1.7253294754552875</v>
      </c>
      <c r="R100" s="392">
        <f ca="1">Q$100*(1+R$209)+IF(OFFSET(Scenarios!$A$55,0,$C$1)="Yes",(R$110-Q$110*(1+R$209))*OFFSET(Scenarios!$A$60,0,$C$1),0)</f>
        <v>1.7411275838746103</v>
      </c>
      <c r="S100" s="392">
        <f ca="1">R$100*(1+S$209)+IF(OFFSET(Scenarios!$A$55,0,$C$1)="Yes",(S$110-R$110*(1+S$209))*OFFSET(Scenarios!$A$60,0,$C$1),0)</f>
        <v>1.7580721835906494</v>
      </c>
      <c r="T100" s="392">
        <f ca="1">S$100*(1+T$209)+IF(OFFSET(Scenarios!$A$55,0,$C$1)="Yes",(T$110-S$110*(1+T$209))*OFFSET(Scenarios!$A$60,0,$C$1),0)</f>
        <v>1.775820229963443</v>
      </c>
    </row>
    <row r="101" spans="1:20" ht="12.75">
      <c r="A101" s="226" t="s">
        <v>763</v>
      </c>
      <c r="B101" s="409"/>
      <c r="C101" s="407"/>
      <c r="D101" s="419">
        <f>SUM(Data!C$41,Data!C$45:C$49,Data!C$52)-SUM(D$95,D$96,D$97)</f>
        <v>7.897</v>
      </c>
      <c r="E101" s="419">
        <f>SUM(Data!D$41,Data!D$45:D$49,Data!D$52)-SUM(E$95,E$96,E$97)</f>
        <v>7.223000000000001</v>
      </c>
      <c r="F101" s="420">
        <f ca="1">SUM(Data!E$41,Data!E$45:E$49,Data!E$52)-SUM(F$95,F$96,F$97)+IF(OFFSET(Scenarios!$A$55,0,$C$1)="Yes",(1-SUM(OFFSET(Scenarios!$A$56,0,$C$1,5,1)))*F$110,0)</f>
        <v>6.991</v>
      </c>
      <c r="G101" s="420">
        <f ca="1">SUM(Data!F$41,Data!F$45:F$49,Data!F$52)-SUM(G$95,G$96,G$97)+IF(OFFSET(Scenarios!$A$55,0,$C$1)="Yes",(1-SUM(OFFSET(Scenarios!$A$56,0,$C$1,5,1)))*G$110,0)</f>
        <v>7.536999999999998</v>
      </c>
      <c r="H101" s="420">
        <f ca="1">SUM(Data!G$41,Data!G$45:G$49,Data!G$52)-SUM(H$95,H$96,H$97)+IF(OFFSET(Scenarios!$A$55,0,$C$1)="Yes",(1-SUM(OFFSET(Scenarios!$A$56,0,$C$1,5,1)))*H$110,0)</f>
        <v>7.061</v>
      </c>
      <c r="I101" s="420">
        <f ca="1">SUM(Data!H$41,Data!H$45:H$49,Data!H$52)-SUM(I$95,I$96,I$97)+IF(OFFSET(Scenarios!$A$55,0,$C$1)="Yes",(1-SUM(OFFSET(Scenarios!$A$56,0,$C$1,5,1)))*I$110,0)</f>
        <v>7.665999999999999</v>
      </c>
      <c r="J101" s="420">
        <f ca="1">SUM(Data!I$41,Data!I$45:I$49,Data!I$52)-SUM(J$95,J$96,J$97)+IF(OFFSET(Scenarios!$A$55,0,$C$1)="Yes",(1-SUM(OFFSET(Scenarios!$A$56,0,$C$1,5,1)))*J$110,0)</f>
        <v>7.234000000000002</v>
      </c>
      <c r="K101" s="421">
        <f ca="1">J$101*(1+K$209)+IF(OFFSET(Scenarios!$A$55,0,$C$1)="Yes",(K$110-J$110*(1+K$209))*(1-SUM(OFFSET(Scenarios!$A$56,0,$C$1,5,1))),0)</f>
        <v>7.306239717604448</v>
      </c>
      <c r="L101" s="421">
        <f ca="1">K$101*(1+L$209)+IF(OFFSET(Scenarios!$A$55,0,$C$1)="Yes",(L$110-K$110*(1+L$209))*(1-SUM(OFFSET(Scenarios!$A$56,0,$C$1,5,1))),0)</f>
        <v>7.3816739147447175</v>
      </c>
      <c r="M101" s="421">
        <f ca="1">L$101*(1+M$209)+IF(OFFSET(Scenarios!$A$55,0,$C$1)="Yes",(M$110-L$110*(1+M$209))*(1-SUM(OFFSET(Scenarios!$A$56,0,$C$1,5,1))),0)</f>
        <v>7.454136032823176</v>
      </c>
      <c r="N101" s="421">
        <f ca="1">M$101*(1+N$209)+IF(OFFSET(Scenarios!$A$55,0,$C$1)="Yes",(N$110-M$110*(1+N$209))*(1-SUM(OFFSET(Scenarios!$A$56,0,$C$1,5,1))),0)</f>
        <v>7.521442503549512</v>
      </c>
      <c r="O101" s="421">
        <f ca="1">N$101*(1+O$209)+IF(OFFSET(Scenarios!$A$55,0,$C$1)="Yes",(O$110-N$110*(1+O$209))*(1-SUM(OFFSET(Scenarios!$A$56,0,$C$1,5,1))),0)</f>
        <v>7.589234211673693</v>
      </c>
      <c r="P101" s="421">
        <f ca="1">O$101*(1+P$209)+IF(OFFSET(Scenarios!$A$55,0,$C$1)="Yes",(P$110-O$110*(1+P$209))*(1-SUM(OFFSET(Scenarios!$A$56,0,$C$1,5,1))),0)</f>
        <v>7.659371233887469</v>
      </c>
      <c r="Q101" s="421">
        <f ca="1">P$101*(1+Q$209)+IF(OFFSET(Scenarios!$A$55,0,$C$1)="Yes",(Q$110-P$110*(1+Q$209))*(1-SUM(OFFSET(Scenarios!$A$56,0,$C$1,5,1))),0)</f>
        <v>7.728194071482076</v>
      </c>
      <c r="R101" s="440">
        <f ca="1">Q$101*(1+R$209)+IF(OFFSET(Scenarios!$A$55,0,$C$1)="Yes",(R$110-Q$110*(1+R$209))*(1-SUM(OFFSET(Scenarios!$A$56,0,$C$1,5,1))),0)-0.25</f>
        <v>7.548957858668071</v>
      </c>
      <c r="S101" s="421">
        <f ca="1">R$101*(1+S$209)+IF(OFFSET(Scenarios!$A$55,0,$C$1)="Yes",(S$110-R$110*(1+S$209))*(1-SUM(OFFSET(Scenarios!$A$56,0,$C$1,5,1))),0)</f>
        <v>7.622424082724854</v>
      </c>
      <c r="T101" s="421">
        <f ca="1">S$101*(1+T$209)+IF(OFFSET(Scenarios!$A$55,0,$C$1)="Yes",(T$110-S$110*(1+T$209))*(1-SUM(OFFSET(Scenarios!$A$56,0,$C$1,5,1))),0)</f>
        <v>7.699373787837074</v>
      </c>
    </row>
    <row r="102" spans="1:20" ht="12.75">
      <c r="A102" s="403" t="s">
        <v>154</v>
      </c>
      <c r="B102" s="410"/>
      <c r="C102" s="407"/>
      <c r="D102" s="417">
        <f>SUM(D$94:D$101)</f>
        <v>15.282</v>
      </c>
      <c r="E102" s="417">
        <f>SUM(E$94:E$101)</f>
        <v>15.812000000000001</v>
      </c>
      <c r="F102" s="422">
        <f>SUM(F$94:F$101)</f>
        <v>17.022</v>
      </c>
      <c r="G102" s="422">
        <f>SUM(G$94:G$101)</f>
        <v>16.738</v>
      </c>
      <c r="H102" s="422">
        <f>SUM(H$94:H$101)</f>
        <v>16.223</v>
      </c>
      <c r="I102" s="422">
        <f>SUM(I$94:I$101)</f>
        <v>16.659</v>
      </c>
      <c r="J102" s="422">
        <f>SUM(J$94:J$101)</f>
        <v>17.26</v>
      </c>
      <c r="K102" s="423">
        <f>SUM(K$94:K$101)</f>
        <v>17.046795811530217</v>
      </c>
      <c r="L102" s="423">
        <f aca="true" t="shared" si="49" ref="L102:T102">SUM(L$94:L$101)</f>
        <v>17.21243106821691</v>
      </c>
      <c r="M102" s="423">
        <f t="shared" si="49"/>
        <v>17.379790348101487</v>
      </c>
      <c r="N102" s="423">
        <f t="shared" si="49"/>
        <v>17.527812974356465</v>
      </c>
      <c r="O102" s="423">
        <f t="shared" si="49"/>
        <v>17.681493415849165</v>
      </c>
      <c r="P102" s="423">
        <f t="shared" si="49"/>
        <v>17.738744331935237</v>
      </c>
      <c r="Q102" s="423">
        <f t="shared" si="49"/>
        <v>17.788203620879212</v>
      </c>
      <c r="R102" s="423">
        <f t="shared" si="49"/>
        <v>17.597772947958827</v>
      </c>
      <c r="S102" s="423">
        <f t="shared" si="49"/>
        <v>17.673411415964782</v>
      </c>
      <c r="T102" s="423">
        <f t="shared" si="49"/>
        <v>17.755961508291577</v>
      </c>
    </row>
    <row r="103" spans="1:20" ht="12.75">
      <c r="A103" s="403" t="s">
        <v>493</v>
      </c>
      <c r="B103" s="409"/>
      <c r="C103" s="407"/>
      <c r="D103" s="417">
        <f>SUM(Data!C$20,Data!C$23:C$31,Data!C$34)</f>
        <v>25.500999999999998</v>
      </c>
      <c r="E103" s="417">
        <f>SUM(Data!D$20,Data!D$23:D$31,Data!D$34)</f>
        <v>30.026</v>
      </c>
      <c r="F103" s="422">
        <f ca="1">SUM(Data!E$20,Data!E$23:E$31,Data!E$34)+IF(OFFSET(Scenarios!$A$55,0,$C$1)="Yes",(1-SUM(OFFSET(Scenarios!$A$56,0,$C$1,2,1)))*F$110,0)</f>
        <v>31.317000000000004</v>
      </c>
      <c r="G103" s="422">
        <f ca="1">SUM(Data!F$20,Data!F$23:F$31,Data!F$34)+IF(OFFSET(Scenarios!$A$55,0,$C$1)="Yes",(1-SUM(OFFSET(Scenarios!$A$56,0,$C$1,2,1)))*G$110,0)</f>
        <v>32.035000000000004</v>
      </c>
      <c r="H103" s="422">
        <f ca="1">SUM(Data!G$20,Data!G$23:G$31,Data!G$34)+IF(OFFSET(Scenarios!$A$55,0,$C$1)="Yes",(1-SUM(OFFSET(Scenarios!$A$56,0,$C$1,2,1)))*H$110,0)</f>
        <v>32.937999999999995</v>
      </c>
      <c r="I103" s="422">
        <f ca="1">SUM(Data!H$20,Data!H$23:H$31,Data!H$34)+IF(OFFSET(Scenarios!$A$55,0,$C$1)="Yes",(1-SUM(OFFSET(Scenarios!$A$56,0,$C$1,2,1)))*I$110,0)</f>
        <v>33.724</v>
      </c>
      <c r="J103" s="422">
        <f ca="1">SUM(Data!I$20,Data!I$23:I$31,Data!I$34)+IF(OFFSET(Scenarios!$A$55,0,$C$1)="Yes",(1-SUM(OFFSET(Scenarios!$A$56,0,$C$1,2,1)))*J$110,0)</f>
        <v>34.864</v>
      </c>
      <c r="K103" s="441">
        <f aca="true" t="shared" si="50" ref="K103:T103">SUM(K$102,(J$103-J$102)*(1+K$204))</f>
        <v>35.6717510369525</v>
      </c>
      <c r="L103" s="441">
        <f t="shared" si="50"/>
        <v>36.93518350457846</v>
      </c>
      <c r="M103" s="441">
        <f t="shared" si="50"/>
        <v>38.20748475859547</v>
      </c>
      <c r="N103" s="441">
        <f t="shared" si="50"/>
        <v>39.278073562044355</v>
      </c>
      <c r="O103" s="441">
        <f t="shared" si="50"/>
        <v>40.358359332058384</v>
      </c>
      <c r="P103" s="441">
        <f t="shared" si="50"/>
        <v>41.37652999580074</v>
      </c>
      <c r="Q103" s="441">
        <f t="shared" si="50"/>
        <v>42.423317372660804</v>
      </c>
      <c r="R103" s="441">
        <f t="shared" si="50"/>
        <v>43.26317914098284</v>
      </c>
      <c r="S103" s="441">
        <f t="shared" si="50"/>
        <v>44.41702232096628</v>
      </c>
      <c r="T103" s="441">
        <f t="shared" si="50"/>
        <v>45.61949068832981</v>
      </c>
    </row>
    <row r="104" spans="1:20" ht="12.75">
      <c r="A104" s="403"/>
      <c r="B104" s="436"/>
      <c r="C104" s="407"/>
      <c r="D104" s="417"/>
      <c r="E104" s="422"/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</row>
    <row r="105" spans="1:20" ht="12.75">
      <c r="A105" s="418" t="s">
        <v>692</v>
      </c>
      <c r="B105" s="436"/>
      <c r="C105" s="407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</row>
    <row r="106" spans="1:20" ht="12.75">
      <c r="A106" s="403" t="s">
        <v>511</v>
      </c>
      <c r="B106" s="409"/>
      <c r="C106" s="407"/>
      <c r="D106" s="417">
        <f>Data!C$50</f>
        <v>2.329</v>
      </c>
      <c r="E106" s="417">
        <f>Data!D$50</f>
        <v>2.46</v>
      </c>
      <c r="F106" s="422">
        <f>Data!E$50</f>
        <v>2.507</v>
      </c>
      <c r="G106" s="422">
        <f>Data!F$50</f>
        <v>2.47</v>
      </c>
      <c r="H106" s="422">
        <f>Data!G$50</f>
        <v>2.998</v>
      </c>
      <c r="I106" s="422">
        <f>Data!H$50</f>
        <v>3.575</v>
      </c>
      <c r="J106" s="422">
        <f>Data!I$50</f>
        <v>4.33</v>
      </c>
      <c r="K106" s="412">
        <f aca="true" t="shared" si="51" ref="K106:T106">J$194*K$207</f>
        <v>5.2403208</v>
      </c>
      <c r="L106" s="412">
        <f t="shared" si="51"/>
        <v>5.897551007993376</v>
      </c>
      <c r="M106" s="412">
        <f t="shared" si="51"/>
        <v>6.474800550590086</v>
      </c>
      <c r="N106" s="412">
        <f t="shared" si="51"/>
        <v>6.950134633234481</v>
      </c>
      <c r="O106" s="412">
        <f t="shared" si="51"/>
        <v>7.245332436846103</v>
      </c>
      <c r="P106" s="412">
        <f t="shared" si="51"/>
        <v>7.481470567743035</v>
      </c>
      <c r="Q106" s="412">
        <f t="shared" si="51"/>
        <v>7.652882414719511</v>
      </c>
      <c r="R106" s="412">
        <f t="shared" si="51"/>
        <v>7.749168110731152</v>
      </c>
      <c r="S106" s="412">
        <f t="shared" si="51"/>
        <v>7.892614968314991</v>
      </c>
      <c r="T106" s="412">
        <f t="shared" si="51"/>
        <v>7.941752581775944</v>
      </c>
    </row>
    <row r="107" spans="1:20" ht="12.75">
      <c r="A107" s="403" t="s">
        <v>512</v>
      </c>
      <c r="B107" s="409"/>
      <c r="C107" s="407"/>
      <c r="D107" s="417">
        <f>Data!C$32</f>
        <v>2.885</v>
      </c>
      <c r="E107" s="417">
        <f>Data!D$32</f>
        <v>3.101</v>
      </c>
      <c r="F107" s="422">
        <f>Data!E$32</f>
        <v>3.358</v>
      </c>
      <c r="G107" s="422">
        <f>Data!F$32</f>
        <v>3.349</v>
      </c>
      <c r="H107" s="422">
        <f>Data!G$32</f>
        <v>4.019</v>
      </c>
      <c r="I107" s="422">
        <f>Data!H$32</f>
        <v>4.625</v>
      </c>
      <c r="J107" s="422">
        <f>Data!I$32</f>
        <v>5.46</v>
      </c>
      <c r="K107" s="412">
        <f aca="true" t="shared" si="52" ref="K107:T107">SUM(J$191,J$192)*K$207</f>
        <v>6.0987212</v>
      </c>
      <c r="L107" s="412">
        <f t="shared" si="52"/>
        <v>6.8010008363098455</v>
      </c>
      <c r="M107" s="412">
        <f t="shared" si="52"/>
        <v>7.438105684513654</v>
      </c>
      <c r="N107" s="412">
        <f t="shared" si="52"/>
        <v>7.979531335259709</v>
      </c>
      <c r="O107" s="412">
        <f t="shared" si="52"/>
        <v>8.32134415948073</v>
      </c>
      <c r="P107" s="412">
        <f t="shared" si="52"/>
        <v>8.609153203853765</v>
      </c>
      <c r="Q107" s="412">
        <f t="shared" si="52"/>
        <v>8.840055920326488</v>
      </c>
      <c r="R107" s="412">
        <f t="shared" si="52"/>
        <v>9.004648167525222</v>
      </c>
      <c r="S107" s="412">
        <f t="shared" si="52"/>
        <v>9.21512377305158</v>
      </c>
      <c r="T107" s="412">
        <f t="shared" si="52"/>
        <v>9.342525161027503</v>
      </c>
    </row>
    <row r="108" spans="1:20" ht="12.75">
      <c r="A108" s="403"/>
      <c r="B108" s="436"/>
      <c r="C108" s="407"/>
      <c r="D108" s="417"/>
      <c r="E108" s="417"/>
      <c r="F108" s="422"/>
      <c r="G108" s="422"/>
      <c r="H108" s="422"/>
      <c r="I108" s="422"/>
      <c r="J108" s="422"/>
      <c r="K108" s="422"/>
      <c r="L108" s="422"/>
      <c r="M108" s="423"/>
      <c r="N108" s="423"/>
      <c r="O108" s="423"/>
      <c r="P108" s="423"/>
      <c r="Q108" s="423"/>
      <c r="R108" s="423"/>
      <c r="S108" s="423"/>
      <c r="T108" s="423"/>
    </row>
    <row r="109" spans="1:20" ht="12.75">
      <c r="A109" s="418" t="s">
        <v>693</v>
      </c>
      <c r="B109" s="436"/>
      <c r="C109" s="407"/>
      <c r="D109" s="417">
        <f>D$110</f>
        <v>0</v>
      </c>
      <c r="E109" s="417">
        <f>E$110-D$110</f>
        <v>0</v>
      </c>
      <c r="F109" s="422">
        <f ca="1">IF(OFFSET(Scenarios!$A$55,0,$C$1)="Yes",0,F$110-E$110)</f>
        <v>0</v>
      </c>
      <c r="G109" s="422">
        <f ca="1">IF(OFFSET(Scenarios!$A$55,0,$C$1)="Yes",0,G$110-F$110)</f>
        <v>0.254</v>
      </c>
      <c r="H109" s="422">
        <f ca="1">IF(OFFSET(Scenarios!$A$55,0,$C$1)="Yes",0,H$110-G$110)</f>
        <v>1.182</v>
      </c>
      <c r="I109" s="422">
        <f ca="1">IF(OFFSET(Scenarios!$A$55,0,$C$1)="Yes",0,I$110-H$110)</f>
        <v>1.097</v>
      </c>
      <c r="J109" s="422">
        <f ca="1">IF(OFFSET(Scenarios!$A$55,0,$C$1)="Yes",0,J$110-I$110)</f>
        <v>1.089</v>
      </c>
      <c r="K109" s="441">
        <f ca="1">IF(OFFSET(Scenarios!$A$55,0,$C$1)="Yes",0,IF(K$2="Proj Yr1",OFFSET(Scenarios!$A$28,0,$C$1),J$109*(1+IF(OFFSET(Scenarios!$A$32,0,$C$1)="GDP",K$204,IF(OFFSET(Scenarios!$A$32,0,$C$1)="CPI",K$206,0)))))</f>
        <v>0.847</v>
      </c>
      <c r="L109" s="441">
        <f ca="1">IF(OFFSET(Scenarios!$A$55,0,$C$1)="Yes",0,IF(L$2="Proj Yr1",OFFSET(Scenarios!$A$28,0,$C$1),K$109*(1+IF(OFFSET(Scenarios!$A$32,0,$C$1)="GDP",L$204,IF(OFFSET(Scenarios!$A$32,0,$C$1)="CPI",L$206,0)))))</f>
        <v>0.86394</v>
      </c>
      <c r="M109" s="441">
        <f ca="1">IF(OFFSET(Scenarios!$A$55,0,$C$1)="Yes",0,IF(M$2="Proj Yr1",OFFSET(Scenarios!$A$28,0,$C$1),L$109*(1+IF(OFFSET(Scenarios!$A$32,0,$C$1)="GDP",M$204,IF(OFFSET(Scenarios!$A$32,0,$C$1)="CPI",M$206,0)))))</f>
        <v>0.8812188000000001</v>
      </c>
      <c r="N109" s="441">
        <f ca="1">IF(OFFSET(Scenarios!$A$55,0,$C$1)="Yes",0,IF(N$2="Proj Yr1",OFFSET(Scenarios!$A$28,0,$C$1),M$109*(1+IF(OFFSET(Scenarios!$A$32,0,$C$1)="GDP",N$204,IF(OFFSET(Scenarios!$A$32,0,$C$1)="CPI",N$206,0)))))</f>
        <v>0.8988431760000001</v>
      </c>
      <c r="O109" s="441">
        <f ca="1">IF(OFFSET(Scenarios!$A$55,0,$C$1)="Yes",0,IF(O$2="Proj Yr1",OFFSET(Scenarios!$A$28,0,$C$1),N$109*(1+IF(OFFSET(Scenarios!$A$32,0,$C$1)="GDP",O$204,IF(OFFSET(Scenarios!$A$32,0,$C$1)="CPI",O$206,0)))))</f>
        <v>0.9168200395200001</v>
      </c>
      <c r="P109" s="441">
        <f ca="1">IF(OFFSET(Scenarios!$A$55,0,$C$1)="Yes",0,IF(P$2="Proj Yr1",OFFSET(Scenarios!$A$28,0,$C$1),O$109*(1+IF(OFFSET(Scenarios!$A$32,0,$C$1)="GDP",P$204,IF(OFFSET(Scenarios!$A$32,0,$C$1)="CPI",P$206,0)))))</f>
        <v>0.9351564403104001</v>
      </c>
      <c r="Q109" s="441">
        <f ca="1">IF(OFFSET(Scenarios!$A$55,0,$C$1)="Yes",0,IF(Q$2="Proj Yr1",OFFSET(Scenarios!$A$28,0,$C$1),P$109*(1+IF(OFFSET(Scenarios!$A$32,0,$C$1)="GDP",Q$204,IF(OFFSET(Scenarios!$A$32,0,$C$1)="CPI",Q$206,0)))))</f>
        <v>0.9538595691166082</v>
      </c>
      <c r="R109" s="441">
        <f ca="1">IF(OFFSET(Scenarios!$A$55,0,$C$1)="Yes",0,IF(R$2="Proj Yr1",OFFSET(Scenarios!$A$28,0,$C$1),Q$109*(1+IF(OFFSET(Scenarios!$A$32,0,$C$1)="GDP",R$204,IF(OFFSET(Scenarios!$A$32,0,$C$1)="CPI",R$206,0)))))</f>
        <v>0.9729367604989404</v>
      </c>
      <c r="S109" s="441">
        <f ca="1">IF(OFFSET(Scenarios!$A$55,0,$C$1)="Yes",0,IF(S$2="Proj Yr1",OFFSET(Scenarios!$A$28,0,$C$1),R$109*(1+IF(OFFSET(Scenarios!$A$32,0,$C$1)="GDP",S$204,IF(OFFSET(Scenarios!$A$32,0,$C$1)="CPI",S$206,0)))))</f>
        <v>0.9923954957089193</v>
      </c>
      <c r="T109" s="441">
        <f ca="1">IF(OFFSET(Scenarios!$A$55,0,$C$1)="Yes",0,IF(T$2="Proj Yr1",OFFSET(Scenarios!$A$28,0,$C$1),S$109*(1+IF(OFFSET(Scenarios!$A$32,0,$C$1)="GDP",T$204,IF(OFFSET(Scenarios!$A$32,0,$C$1)="CPI",T$206,0)))))</f>
        <v>1.0122434056230978</v>
      </c>
    </row>
    <row r="110" spans="1:20" ht="12.75">
      <c r="A110" s="323" t="s">
        <v>330</v>
      </c>
      <c r="B110" s="409"/>
      <c r="C110" s="407"/>
      <c r="D110" s="442">
        <f>Data!C$51</f>
        <v>0</v>
      </c>
      <c r="E110" s="442">
        <f>Data!D$51</f>
        <v>0</v>
      </c>
      <c r="F110" s="443">
        <f>Data!E$51</f>
        <v>0</v>
      </c>
      <c r="G110" s="443">
        <f>Data!F$51</f>
        <v>0.254</v>
      </c>
      <c r="H110" s="443">
        <f>Data!G$51</f>
        <v>1.436</v>
      </c>
      <c r="I110" s="443">
        <f>Data!H$51</f>
        <v>2.533</v>
      </c>
      <c r="J110" s="443">
        <f>Data!I$51</f>
        <v>3.622</v>
      </c>
      <c r="K110" s="435">
        <f ca="1">J$110+IF(K$2="Proj Yr1",OFFSET(Scenarios!$A$28,0,$C$1),(J$110-I$110)*(1+IF(OFFSET(Scenarios!$A$32,0,$C$1)="GDP",K$204,IF(OFFSET(Scenarios!$A$32,0,$C$1)="CPI",K$206,0))))</f>
        <v>4.468999999999999</v>
      </c>
      <c r="L110" s="435">
        <f ca="1">K$110+IF(L$2="Proj Yr1",OFFSET(Scenarios!$A$28,0,$C$1),(K$110-J$110)*(1+IF(OFFSET(Scenarios!$A$32,0,$C$1)="GDP",L$204,IF(OFFSET(Scenarios!$A$32,0,$C$1)="CPI",L$206,0))))</f>
        <v>5.332939999999999</v>
      </c>
      <c r="M110" s="435">
        <f ca="1">L$110+IF(M$2="Proj Yr1",OFFSET(Scenarios!$A$28,0,$C$1),(L$110-K$110)*(1+IF(OFFSET(Scenarios!$A$32,0,$C$1)="GDP",M$204,IF(OFFSET(Scenarios!$A$32,0,$C$1)="CPI",M$206,0))))</f>
        <v>6.214158799999998</v>
      </c>
      <c r="N110" s="435">
        <f ca="1">M$110+IF(N$2="Proj Yr1",OFFSET(Scenarios!$A$28,0,$C$1),(M$110-L$110)*(1+IF(OFFSET(Scenarios!$A$32,0,$C$1)="GDP",N$204,IF(OFFSET(Scenarios!$A$32,0,$C$1)="CPI",N$206,0))))</f>
        <v>7.113001975999997</v>
      </c>
      <c r="O110" s="435">
        <f ca="1">N$110+IF(O$2="Proj Yr1",OFFSET(Scenarios!$A$28,0,$C$1),(N$110-M$110)*(1+IF(OFFSET(Scenarios!$A$32,0,$C$1)="GDP",O$204,IF(OFFSET(Scenarios!$A$32,0,$C$1)="CPI",O$206,0))))</f>
        <v>8.029822015519995</v>
      </c>
      <c r="P110" s="435">
        <f ca="1">O$110+IF(P$2="Proj Yr1",OFFSET(Scenarios!$A$28,0,$C$1),(O$110-N$110)*(1+IF(OFFSET(Scenarios!$A$32,0,$C$1)="GDP",P$204,IF(OFFSET(Scenarios!$A$32,0,$C$1)="CPI",P$206,0))))</f>
        <v>8.964978455830394</v>
      </c>
      <c r="Q110" s="435">
        <f ca="1">P$110+IF(Q$2="Proj Yr1",OFFSET(Scenarios!$A$28,0,$C$1),(P$110-O$110)*(1+IF(OFFSET(Scenarios!$A$32,0,$C$1)="GDP",Q$204,IF(OFFSET(Scenarios!$A$32,0,$C$1)="CPI",Q$206,0))))</f>
        <v>9.918838024947002</v>
      </c>
      <c r="R110" s="435">
        <f ca="1">Q$110+IF(R$2="Proj Yr1",OFFSET(Scenarios!$A$28,0,$C$1),(Q$110-P$110)*(1+IF(OFFSET(Scenarios!$A$32,0,$C$1)="GDP",R$204,IF(OFFSET(Scenarios!$A$32,0,$C$1)="CPI",R$206,0))))</f>
        <v>10.891774785445941</v>
      </c>
      <c r="S110" s="435">
        <f ca="1">R$110+IF(S$2="Proj Yr1",OFFSET(Scenarios!$A$28,0,$C$1),(R$110-Q$110)*(1+IF(OFFSET(Scenarios!$A$32,0,$C$1)="GDP",S$204,IF(OFFSET(Scenarios!$A$32,0,$C$1)="CPI",S$206,0))))</f>
        <v>11.884170281154859</v>
      </c>
      <c r="T110" s="435">
        <f ca="1">S$110+IF(T$2="Proj Yr1",OFFSET(Scenarios!$A$28,0,$C$1),(S$110-R$110)*(1+IF(OFFSET(Scenarios!$A$32,0,$C$1)="GDP",T$204,IF(OFFSET(Scenarios!$A$32,0,$C$1)="CPI",T$206,0))))</f>
        <v>12.896413686777954</v>
      </c>
    </row>
    <row r="111" spans="1:20" ht="12.75">
      <c r="A111" s="424"/>
      <c r="B111" s="407"/>
      <c r="C111" s="407"/>
      <c r="D111" s="442"/>
      <c r="E111" s="442"/>
      <c r="F111" s="443"/>
      <c r="G111" s="443"/>
      <c r="H111" s="443"/>
      <c r="I111" s="443"/>
      <c r="J111" s="443"/>
      <c r="K111" s="443"/>
      <c r="L111" s="443"/>
      <c r="M111" s="443"/>
      <c r="N111" s="443"/>
      <c r="O111" s="443"/>
      <c r="P111" s="443"/>
      <c r="Q111" s="443"/>
      <c r="R111" s="443"/>
      <c r="S111" s="443"/>
      <c r="T111" s="443"/>
    </row>
    <row r="112" spans="1:20" ht="12.75">
      <c r="A112" s="418" t="s">
        <v>713</v>
      </c>
      <c r="B112" s="407"/>
      <c r="C112" s="407"/>
      <c r="D112" s="442"/>
      <c r="E112" s="442"/>
      <c r="F112" s="443"/>
      <c r="G112" s="443"/>
      <c r="H112" s="443"/>
      <c r="I112" s="443"/>
      <c r="J112" s="443"/>
      <c r="K112" s="443"/>
      <c r="L112" s="443"/>
      <c r="M112" s="443"/>
      <c r="N112" s="443"/>
      <c r="O112" s="443"/>
      <c r="P112" s="443"/>
      <c r="Q112" s="443"/>
      <c r="R112" s="443"/>
      <c r="S112" s="443"/>
      <c r="T112" s="443"/>
    </row>
    <row r="113" spans="1:20" ht="12.75">
      <c r="A113" s="403" t="s">
        <v>367</v>
      </c>
      <c r="B113" s="409"/>
      <c r="C113" s="407"/>
      <c r="D113" s="438">
        <f>Data!C$106</f>
        <v>1.118</v>
      </c>
      <c r="E113" s="438">
        <f>Data!D$106</f>
        <v>0.872</v>
      </c>
      <c r="F113" s="422">
        <f>Data!E$106</f>
        <v>2.432</v>
      </c>
      <c r="G113" s="422">
        <f>Data!F$106</f>
        <v>2.247</v>
      </c>
      <c r="H113" s="422">
        <f>Data!G$106</f>
        <v>2.279</v>
      </c>
      <c r="I113" s="422">
        <f>Data!H$106</f>
        <v>2.504</v>
      </c>
      <c r="J113" s="422">
        <f>Data!I$106</f>
        <v>2.256</v>
      </c>
      <c r="K113" s="412">
        <f aca="true" t="shared" si="53" ref="K113:T113">J$113*(1+K$206)</f>
        <v>2.2989811885650315</v>
      </c>
      <c r="L113" s="412">
        <f t="shared" si="53"/>
        <v>2.3449608123363324</v>
      </c>
      <c r="M113" s="412">
        <f t="shared" si="53"/>
        <v>2.391860028583059</v>
      </c>
      <c r="N113" s="412">
        <f t="shared" si="53"/>
        <v>2.4396972291547203</v>
      </c>
      <c r="O113" s="412">
        <f t="shared" si="53"/>
        <v>2.4884911737378146</v>
      </c>
      <c r="P113" s="412">
        <f t="shared" si="53"/>
        <v>2.538260997212571</v>
      </c>
      <c r="Q113" s="412">
        <f t="shared" si="53"/>
        <v>2.5890262171568224</v>
      </c>
      <c r="R113" s="412">
        <f t="shared" si="53"/>
        <v>2.6408067414999588</v>
      </c>
      <c r="S113" s="412">
        <f t="shared" si="53"/>
        <v>2.693622876329958</v>
      </c>
      <c r="T113" s="412">
        <f t="shared" si="53"/>
        <v>2.7474953338565573</v>
      </c>
    </row>
    <row r="114" spans="1:20" ht="12.75">
      <c r="A114" s="403" t="s">
        <v>714</v>
      </c>
      <c r="B114" s="409"/>
      <c r="C114" s="407"/>
      <c r="D114" s="438">
        <f>Data!C$55</f>
        <v>4.163</v>
      </c>
      <c r="E114" s="438">
        <f>Data!D$55</f>
        <v>3.804</v>
      </c>
      <c r="F114" s="422">
        <f>Data!E$55</f>
        <v>5.353</v>
      </c>
      <c r="G114" s="422">
        <f>Data!F$55</f>
        <v>5.042</v>
      </c>
      <c r="H114" s="422">
        <f>Data!G$55</f>
        <v>5.045</v>
      </c>
      <c r="I114" s="422">
        <f>Data!H$55</f>
        <v>5.37</v>
      </c>
      <c r="J114" s="422">
        <f>Data!I$55</f>
        <v>5.107</v>
      </c>
      <c r="K114" s="412">
        <f aca="true" t="shared" si="54" ref="K114:T114">J$114*(1+K$206)</f>
        <v>5.204298284575185</v>
      </c>
      <c r="L114" s="412">
        <f t="shared" si="54"/>
        <v>5.308384250266689</v>
      </c>
      <c r="M114" s="412">
        <f t="shared" si="54"/>
        <v>5.414551935272023</v>
      </c>
      <c r="N114" s="412">
        <f t="shared" si="54"/>
        <v>5.522842973977464</v>
      </c>
      <c r="O114" s="412">
        <f t="shared" si="54"/>
        <v>5.633299833457013</v>
      </c>
      <c r="P114" s="412">
        <f t="shared" si="54"/>
        <v>5.745965830126154</v>
      </c>
      <c r="Q114" s="412">
        <f t="shared" si="54"/>
        <v>5.860885146728677</v>
      </c>
      <c r="R114" s="412">
        <f t="shared" si="54"/>
        <v>5.978102849663251</v>
      </c>
      <c r="S114" s="412">
        <f t="shared" si="54"/>
        <v>6.097664906656516</v>
      </c>
      <c r="T114" s="412">
        <f t="shared" si="54"/>
        <v>6.219618204789646</v>
      </c>
    </row>
    <row r="115" spans="1:20" ht="12.75">
      <c r="A115" s="403" t="s">
        <v>368</v>
      </c>
      <c r="B115" s="409"/>
      <c r="C115" s="407"/>
      <c r="D115" s="438">
        <f>Data!C$107</f>
        <v>7.59</v>
      </c>
      <c r="E115" s="438">
        <f>Data!D$107</f>
        <v>9.031</v>
      </c>
      <c r="F115" s="422">
        <f>Data!E$107</f>
        <v>8.786</v>
      </c>
      <c r="G115" s="422">
        <f>Data!F$107</f>
        <v>8.877</v>
      </c>
      <c r="H115" s="422">
        <f>Data!G$107</f>
        <v>8.572</v>
      </c>
      <c r="I115" s="422">
        <f>Data!H$107</f>
        <v>8.49</v>
      </c>
      <c r="J115" s="422">
        <f>Data!I$107</f>
        <v>8.621</v>
      </c>
      <c r="K115" s="412">
        <f aca="true" t="shared" si="55" ref="K115:T115">J$115*(1+K$206)</f>
        <v>8.785246820309903</v>
      </c>
      <c r="L115" s="412">
        <f t="shared" si="55"/>
        <v>8.960951756716101</v>
      </c>
      <c r="M115" s="412">
        <f t="shared" si="55"/>
        <v>9.140170791850423</v>
      </c>
      <c r="N115" s="412">
        <f t="shared" si="55"/>
        <v>9.322974207687432</v>
      </c>
      <c r="O115" s="412">
        <f t="shared" si="55"/>
        <v>9.509433691841181</v>
      </c>
      <c r="P115" s="412">
        <f t="shared" si="55"/>
        <v>9.699622365678005</v>
      </c>
      <c r="Q115" s="412">
        <f t="shared" si="55"/>
        <v>9.893614812991565</v>
      </c>
      <c r="R115" s="412">
        <f t="shared" si="55"/>
        <v>10.091487109251396</v>
      </c>
      <c r="S115" s="412">
        <f t="shared" si="55"/>
        <v>10.293316851436424</v>
      </c>
      <c r="T115" s="412">
        <f t="shared" si="55"/>
        <v>10.499183188465153</v>
      </c>
    </row>
    <row r="116" spans="1:20" ht="12.75">
      <c r="A116" s="403" t="s">
        <v>370</v>
      </c>
      <c r="B116" s="409"/>
      <c r="C116" s="407"/>
      <c r="D116" s="438">
        <f>Data!C$56</f>
        <v>12.058</v>
      </c>
      <c r="E116" s="438">
        <f>Data!D$56</f>
        <v>14.158</v>
      </c>
      <c r="F116" s="422">
        <f>Data!E$56</f>
        <v>13.787</v>
      </c>
      <c r="G116" s="422">
        <f>Data!F$56</f>
        <v>14.093</v>
      </c>
      <c r="H116" s="422">
        <f>Data!G$56</f>
        <v>14.018</v>
      </c>
      <c r="I116" s="422">
        <f>Data!H$56</f>
        <v>14.029</v>
      </c>
      <c r="J116" s="422">
        <f>Data!I$56</f>
        <v>14.439</v>
      </c>
      <c r="K116" s="412">
        <f aca="true" t="shared" si="56" ref="K116:T116">J$116*(1+K$206)</f>
        <v>14.714091037983374</v>
      </c>
      <c r="L116" s="412">
        <f t="shared" si="56"/>
        <v>15.008372858743042</v>
      </c>
      <c r="M116" s="412">
        <f t="shared" si="56"/>
        <v>15.308540315917904</v>
      </c>
      <c r="N116" s="412">
        <f t="shared" si="56"/>
        <v>15.614711122236262</v>
      </c>
      <c r="O116" s="412">
        <f t="shared" si="56"/>
        <v>15.927005344680987</v>
      </c>
      <c r="P116" s="412">
        <f t="shared" si="56"/>
        <v>16.245545451574607</v>
      </c>
      <c r="Q116" s="412">
        <f t="shared" si="56"/>
        <v>16.570456360606098</v>
      </c>
      <c r="R116" s="412">
        <f t="shared" si="56"/>
        <v>16.90186548781822</v>
      </c>
      <c r="S116" s="412">
        <f t="shared" si="56"/>
        <v>17.239902797574587</v>
      </c>
      <c r="T116" s="412">
        <f t="shared" si="56"/>
        <v>17.58470085352608</v>
      </c>
    </row>
    <row r="117" spans="1:20" ht="12.75">
      <c r="A117" s="403"/>
      <c r="B117" s="407"/>
      <c r="C117" s="407"/>
      <c r="D117" s="438"/>
      <c r="E117" s="438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</row>
    <row r="118" spans="1:20" ht="12.75">
      <c r="A118" s="418" t="s">
        <v>717</v>
      </c>
      <c r="B118" s="407"/>
      <c r="C118" s="407"/>
      <c r="D118" s="438"/>
      <c r="E118" s="438"/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422"/>
    </row>
    <row r="119" spans="1:20" ht="12.75">
      <c r="A119" s="50" t="s">
        <v>893</v>
      </c>
      <c r="B119" s="409"/>
      <c r="C119" s="407"/>
      <c r="D119" s="94">
        <f>ROUND(D$123*(Data!C$142-Data!C$146*2/3)/(SUM(Data!C$142:C$145)-SUM(Data!C$107,Data!C$146,Data!C$163)),3)</f>
        <v>9.078</v>
      </c>
      <c r="E119" s="94">
        <f>ROUND(E$123*(Data!D$142-Data!D$146*2/3)/(SUM(Data!D$142:D$145)-SUM(Data!D$107,Data!D$146,Data!D$163)),3)</f>
        <v>12.641</v>
      </c>
      <c r="F119" s="408">
        <f>ROUND(F$123*(Data!E$142-Data!E$146*2/3)/(SUM(Data!E$142:E$145)-SUM(Data!E$107,Data!E$146,Data!E$163)),3)</f>
        <v>14.608</v>
      </c>
      <c r="G119" s="408">
        <f>ROUND(G$123*(Data!F$142-Data!F$146*2/3)/(SUM(Data!F$142:F$145)-SUM(Data!F$107,Data!F$146,Data!F$163)),3)</f>
        <v>10.936</v>
      </c>
      <c r="H119" s="408">
        <f>ROUND(H$123*(Data!G$142-Data!G$146*2/3)/(SUM(Data!G$142:G$145)-SUM(Data!G$107,Data!G$146,Data!G$163)),3)</f>
        <v>10.034</v>
      </c>
      <c r="I119" s="408">
        <f>ROUND(I$123*(Data!H$142-Data!H$146*2/3)/(SUM(Data!H$142:H$145)-SUM(Data!H$107,Data!H$146,Data!H$163)),3)</f>
        <v>6.555</v>
      </c>
      <c r="J119" s="408">
        <f>ROUND(J$123*(Data!I$142-Data!I$146*2/3)/(SUM(Data!I$142:I$145)-SUM(Data!I$107,Data!I$146,Data!I$163)),3)</f>
        <v>4.473</v>
      </c>
      <c r="K119" s="392">
        <f>J$119*(1+K$206)</f>
        <v>4.558219351263912</v>
      </c>
      <c r="L119" s="392">
        <f aca="true" t="shared" si="57" ref="L119:T119">K$119*(1+L$206)</f>
        <v>4.649383738289191</v>
      </c>
      <c r="M119" s="392">
        <f t="shared" si="57"/>
        <v>4.742371413054975</v>
      </c>
      <c r="N119" s="392">
        <f t="shared" si="57"/>
        <v>4.837218841316074</v>
      </c>
      <c r="O119" s="392">
        <f t="shared" si="57"/>
        <v>4.933963218142395</v>
      </c>
      <c r="P119" s="392">
        <f t="shared" si="57"/>
        <v>5.032642482505243</v>
      </c>
      <c r="Q119" s="392">
        <f t="shared" si="57"/>
        <v>5.133295332155348</v>
      </c>
      <c r="R119" s="392">
        <f t="shared" si="57"/>
        <v>5.235961238798455</v>
      </c>
      <c r="S119" s="392">
        <f t="shared" si="57"/>
        <v>5.340680463574425</v>
      </c>
      <c r="T119" s="392">
        <f t="shared" si="57"/>
        <v>5.447494072845913</v>
      </c>
    </row>
    <row r="120" spans="1:20" ht="12.75">
      <c r="A120" s="50" t="s">
        <v>889</v>
      </c>
      <c r="B120" s="409"/>
      <c r="C120" s="407"/>
      <c r="D120" s="94">
        <f>ROUND(D$123*(Data!C$143-Data!C$146*1/3)/(SUM(Data!C$142:C$145)-SUM(Data!C$107,Data!C$146,Data!C$163)),3)</f>
        <v>12.757</v>
      </c>
      <c r="E120" s="94">
        <f>ROUND(E$123*(Data!D$143-Data!D$146*1/3)/(SUM(Data!D$142:D$145)-SUM(Data!D$107,Data!D$146,Data!D$163)),3)</f>
        <v>13.375</v>
      </c>
      <c r="F120" s="408">
        <f>ROUND(F$123*(Data!E$143-Data!E$146*1/3)/(SUM(Data!E$142:E$145)-SUM(Data!E$107,Data!E$146,Data!E$163)),3)</f>
        <v>24.082</v>
      </c>
      <c r="G120" s="408">
        <f>ROUND(G$123*(Data!F$143-Data!F$146*1/3)/(SUM(Data!F$142:F$145)-SUM(Data!F$107,Data!F$146,Data!F$163)),3)</f>
        <v>23.946</v>
      </c>
      <c r="H120" s="408">
        <f>ROUND(H$123*(Data!G$143-Data!G$146*1/3)/(SUM(Data!G$142:G$145)-SUM(Data!G$107,Data!G$146,Data!G$163)),3)</f>
        <v>23.995</v>
      </c>
      <c r="I120" s="408">
        <f>ROUND(I$123*(Data!H$143-Data!H$146*1/3)/(SUM(Data!H$142:H$145)-SUM(Data!H$107,Data!H$146,Data!H$163)),3)</f>
        <v>23.501</v>
      </c>
      <c r="J120" s="408">
        <f>ROUND(J$123*(Data!I$143-Data!I$146*1/3)/(SUM(Data!I$142:I$145)-SUM(Data!I$107,Data!I$146,Data!I$163)),3)</f>
        <v>23.042</v>
      </c>
      <c r="K120" s="392">
        <f aca="true" t="shared" si="58" ref="K120:T120">J$120*(1+K$206)</f>
        <v>23.480994923278132</v>
      </c>
      <c r="L120" s="392">
        <f t="shared" si="58"/>
        <v>23.950614821743695</v>
      </c>
      <c r="M120" s="392">
        <f t="shared" si="58"/>
        <v>24.42962711817857</v>
      </c>
      <c r="N120" s="392">
        <f t="shared" si="58"/>
        <v>24.918219660542142</v>
      </c>
      <c r="O120" s="392">
        <f t="shared" si="58"/>
        <v>25.416584053752985</v>
      </c>
      <c r="P120" s="392">
        <f t="shared" si="58"/>
        <v>25.924915734828044</v>
      </c>
      <c r="Q120" s="392">
        <f t="shared" si="58"/>
        <v>26.443414049524606</v>
      </c>
      <c r="R120" s="392">
        <f t="shared" si="58"/>
        <v>26.9722823305151</v>
      </c>
      <c r="S120" s="392">
        <f t="shared" si="58"/>
        <v>27.511727977125403</v>
      </c>
      <c r="T120" s="392">
        <f t="shared" si="58"/>
        <v>28.061962536667913</v>
      </c>
    </row>
    <row r="121" spans="1:20" ht="12.75">
      <c r="A121" s="50" t="s">
        <v>375</v>
      </c>
      <c r="B121" s="409"/>
      <c r="C121" s="407"/>
      <c r="D121" s="94">
        <f>ROUND(D$123*Data!C$144/(SUM(Data!C$142:C$145)-SUM(Data!C$107,Data!C$146,Data!C$163)),3)</f>
        <v>11.206</v>
      </c>
      <c r="E121" s="94">
        <f>ROUND(E$123*Data!D$144/(SUM(Data!D$142:D$145)-SUM(Data!D$107,Data!D$146,Data!D$163)),3)</f>
        <v>12.329</v>
      </c>
      <c r="F121" s="408">
        <f>ROUND(F$123*Data!E$144/(SUM(Data!E$142:E$145)-SUM(Data!E$107,Data!E$146,Data!E$163)),3)</f>
        <v>10.641</v>
      </c>
      <c r="G121" s="408">
        <f>ROUND(G$123*Data!F$144/(SUM(Data!F$142:F$145)-SUM(Data!F$107,Data!F$146,Data!F$163)),3)</f>
        <v>11.723</v>
      </c>
      <c r="H121" s="408">
        <f>ROUND(H$123*Data!G$144/(SUM(Data!G$142:G$145)-SUM(Data!G$107,Data!G$146,Data!G$163)),3)</f>
        <v>13.106</v>
      </c>
      <c r="I121" s="408">
        <f>ROUND(I$123*Data!H$144/(SUM(Data!H$142:H$145)-SUM(Data!H$107,Data!H$146,Data!H$163)),3)</f>
        <v>14.649</v>
      </c>
      <c r="J121" s="408">
        <f>ROUND(J$123*Data!I$144/(SUM(Data!I$142:I$145)-SUM(Data!I$107,Data!I$146,Data!I$163)),3)</f>
        <v>16.353</v>
      </c>
      <c r="K121" s="392">
        <f>J$121*K$136/J$136</f>
        <v>17.451256624391494</v>
      </c>
      <c r="L121" s="392">
        <f aca="true" t="shared" si="59" ref="L121:T121">K$121*L$136/K$136</f>
        <v>18.62171263927048</v>
      </c>
      <c r="M121" s="392">
        <f t="shared" si="59"/>
        <v>19.86911443256761</v>
      </c>
      <c r="N121" s="392">
        <f t="shared" si="59"/>
        <v>21.19852041975609</v>
      </c>
      <c r="O121" s="392">
        <f t="shared" si="59"/>
        <v>22.615321556542344</v>
      </c>
      <c r="P121" s="392">
        <f t="shared" si="59"/>
        <v>24.125263200060925</v>
      </c>
      <c r="Q121" s="392">
        <f t="shared" si="59"/>
        <v>25.73446840722442</v>
      </c>
      <c r="R121" s="392">
        <f t="shared" si="59"/>
        <v>29.97119862759217</v>
      </c>
      <c r="S121" s="392">
        <f t="shared" si="59"/>
        <v>34.38431177169014</v>
      </c>
      <c r="T121" s="392">
        <f t="shared" si="59"/>
        <v>38.97718215853635</v>
      </c>
    </row>
    <row r="122" spans="1:20" ht="12.75">
      <c r="A122" s="50" t="s">
        <v>618</v>
      </c>
      <c r="B122" s="409"/>
      <c r="C122" s="407"/>
      <c r="D122" s="243">
        <f>ROUND(D$123*(Data!C$145-SUM(Data!C$107,Data!C$163))/(SUM(Data!C$142:C$145)-SUM(Data!C$107,Data!C$146,Data!C$163)),3)</f>
        <v>1.249</v>
      </c>
      <c r="E122" s="243">
        <f>ROUND(E$123*(Data!D$145-SUM(Data!D$107,Data!D$163))/(SUM(Data!D$142:D$145)-SUM(Data!D$107,Data!D$146,Data!D$163)),3)</f>
        <v>1.103</v>
      </c>
      <c r="F122" s="420">
        <f>ROUND(F$123*(Data!E$145-SUM(Data!E$107,Data!E$163))/(SUM(Data!E$142:E$145)-SUM(Data!E$107,Data!E$146,Data!E$163)),3)</f>
        <v>1.54</v>
      </c>
      <c r="G122" s="420">
        <f>ROUND(G$123*(Data!F$145-SUM(Data!F$107,Data!F$163))/(SUM(Data!F$142:F$145)-SUM(Data!F$107,Data!F$146,Data!F$163)),3)</f>
        <v>0.958</v>
      </c>
      <c r="H122" s="420">
        <f>ROUND(H$123*(Data!G$145-SUM(Data!G$107,Data!G$163))/(SUM(Data!G$142:G$145)-SUM(Data!G$107,Data!G$146,Data!G$163)),3)</f>
        <v>0.978</v>
      </c>
      <c r="I122" s="420">
        <f>ROUND(I$123*(Data!H$145-SUM(Data!H$107,Data!H$163))/(SUM(Data!H$142:H$145)-SUM(Data!H$107,Data!H$146,Data!H$163)),3)</f>
        <v>1.171</v>
      </c>
      <c r="J122" s="420">
        <f>ROUND(J$123*(Data!I$145-SUM(Data!I$107,Data!I$163))/(SUM(Data!I$142:I$145)-SUM(Data!I$107,Data!I$146,Data!I$163)),3)</f>
        <v>1.223</v>
      </c>
      <c r="K122" s="421">
        <f aca="true" t="shared" si="60" ref="K122:T122">J$122*(1+K$206)</f>
        <v>1.2463005290846783</v>
      </c>
      <c r="L122" s="421">
        <f t="shared" si="60"/>
        <v>1.2712265396663718</v>
      </c>
      <c r="M122" s="421">
        <f t="shared" si="60"/>
        <v>1.2966510704596992</v>
      </c>
      <c r="N122" s="421">
        <f t="shared" si="60"/>
        <v>1.3225840918688931</v>
      </c>
      <c r="O122" s="421">
        <f t="shared" si="60"/>
        <v>1.349035773706271</v>
      </c>
      <c r="P122" s="421">
        <f t="shared" si="60"/>
        <v>1.3760164891803965</v>
      </c>
      <c r="Q122" s="421">
        <f t="shared" si="60"/>
        <v>1.4035368189640045</v>
      </c>
      <c r="R122" s="421">
        <f t="shared" si="60"/>
        <v>1.4316075553432845</v>
      </c>
      <c r="S122" s="421">
        <f t="shared" si="60"/>
        <v>1.4602397064501502</v>
      </c>
      <c r="T122" s="421">
        <f t="shared" si="60"/>
        <v>1.4894445005791532</v>
      </c>
    </row>
    <row r="123" spans="1:20" ht="12.75">
      <c r="A123" s="403" t="s">
        <v>374</v>
      </c>
      <c r="B123" s="409"/>
      <c r="C123" s="407"/>
      <c r="D123" s="96">
        <f>Data!C$108-Data!C$190</f>
        <v>34.29</v>
      </c>
      <c r="E123" s="96">
        <f>Data!D$108-Data!D$190</f>
        <v>39.448</v>
      </c>
      <c r="F123" s="422">
        <f>Data!E$108-Data!E$190</f>
        <v>50.870999999999995</v>
      </c>
      <c r="G123" s="422">
        <f>Data!F$108-Data!F$190</f>
        <v>47.562999999999995</v>
      </c>
      <c r="H123" s="422">
        <f>Data!G$108-Data!G$190</f>
        <v>48.113</v>
      </c>
      <c r="I123" s="422">
        <f>Data!H$108-Data!H$190</f>
        <v>45.876</v>
      </c>
      <c r="J123" s="422">
        <f>Data!I$108-Data!I$190</f>
        <v>45.090999999999994</v>
      </c>
      <c r="K123" s="412">
        <f>SUM(K$119:K$122)</f>
        <v>46.736771428018216</v>
      </c>
      <c r="L123" s="412">
        <f aca="true" t="shared" si="61" ref="L123:T123">SUM(L$119:L$122)</f>
        <v>48.492937738969744</v>
      </c>
      <c r="M123" s="412">
        <f t="shared" si="61"/>
        <v>50.33776403426086</v>
      </c>
      <c r="N123" s="412">
        <f t="shared" si="61"/>
        <v>52.27654301348319</v>
      </c>
      <c r="O123" s="412">
        <f t="shared" si="61"/>
        <v>54.31490460214399</v>
      </c>
      <c r="P123" s="412">
        <f t="shared" si="61"/>
        <v>56.45883790657461</v>
      </c>
      <c r="Q123" s="412">
        <f t="shared" si="61"/>
        <v>58.71471460786838</v>
      </c>
      <c r="R123" s="412">
        <f t="shared" si="61"/>
        <v>63.61104975224901</v>
      </c>
      <c r="S123" s="412">
        <f t="shared" si="61"/>
        <v>68.69695991884012</v>
      </c>
      <c r="T123" s="412">
        <f t="shared" si="61"/>
        <v>73.97608326862932</v>
      </c>
    </row>
    <row r="124" spans="1:20" ht="12.75">
      <c r="A124" s="444" t="s">
        <v>722</v>
      </c>
      <c r="B124" s="409"/>
      <c r="C124" s="407"/>
      <c r="D124" s="94">
        <f>ROUND((D$126-D$123)*SUM(Data!C$147:C$149,-Data!C$150,-Data!C$152*2/3)/SUM(Data!C$147:C$149,-Data!C$150,Data!C$151,-Data!C$152),3)</f>
        <v>8.43</v>
      </c>
      <c r="E124" s="94">
        <f>ROUND((E$126-E$123)*SUM(Data!D$147:D$149,-Data!D$150,-Data!D$152*2/3)/SUM(Data!D$147:D$149,-Data!D$150,Data!D$151,-Data!D$152),3)</f>
        <v>9.891</v>
      </c>
      <c r="F124" s="408">
        <f>ROUND((F$126-F$123)*SUM(Data!E$147:E$149,-Data!E$150,-Data!E$152*2/3)/SUM(Data!E$147:E$149,-Data!E$150,Data!E$151,-Data!E$152),3)</f>
        <v>8.975</v>
      </c>
      <c r="G124" s="408">
        <f>ROUND((G$126-G$123)*SUM(Data!F$147:F$149,-Data!F$150,-Data!F$152*2/3)/SUM(Data!F$147:F$149,-Data!F$150,Data!F$151,-Data!F$152),3)</f>
        <v>8.958</v>
      </c>
      <c r="H124" s="408">
        <f>ROUND((H$126-H$123)*SUM(Data!G$147:G$149,-Data!G$150,-Data!G$152*2/3)/SUM(Data!G$147:G$149,-Data!G$150,Data!G$151,-Data!G$152),3)</f>
        <v>9.282</v>
      </c>
      <c r="I124" s="408">
        <f>ROUND((I$126-I$123)*SUM(Data!H$147:H$149,-Data!H$150,-Data!H$152*2/3)/SUM(Data!H$147:H$149,-Data!H$150,Data!H$151,-Data!H$152),3)</f>
        <v>10.421</v>
      </c>
      <c r="J124" s="408">
        <f>ROUND((J$126-J$123)*SUM(Data!I$147:I$149,-Data!I$150,-Data!I$152*2/3)/SUM(Data!I$147:I$149,-Data!I$150,Data!I$151,-Data!I$152),3)</f>
        <v>11.652</v>
      </c>
      <c r="K124" s="392">
        <f aca="true" t="shared" si="62" ref="K124:T124">J$124*(1+K$204)</f>
        <v>12.327765183289051</v>
      </c>
      <c r="L124" s="392">
        <f t="shared" si="62"/>
        <v>13.054391694415175</v>
      </c>
      <c r="M124" s="392">
        <f t="shared" si="62"/>
        <v>13.785747288745505</v>
      </c>
      <c r="N124" s="392">
        <f t="shared" si="62"/>
        <v>14.396389250610051</v>
      </c>
      <c r="O124" s="392">
        <f t="shared" si="62"/>
        <v>15.009704706638827</v>
      </c>
      <c r="P124" s="392">
        <f t="shared" si="62"/>
        <v>15.645732705939611</v>
      </c>
      <c r="Q124" s="392">
        <f t="shared" si="62"/>
        <v>16.3058592044853</v>
      </c>
      <c r="R124" s="392">
        <f t="shared" si="62"/>
        <v>16.987804644462393</v>
      </c>
      <c r="S124" s="392">
        <f t="shared" si="62"/>
        <v>17.70146297802077</v>
      </c>
      <c r="T124" s="392">
        <f t="shared" si="62"/>
        <v>18.442731311395463</v>
      </c>
    </row>
    <row r="125" spans="1:20" ht="12.75">
      <c r="A125" s="444" t="s">
        <v>723</v>
      </c>
      <c r="B125" s="409"/>
      <c r="C125" s="407"/>
      <c r="D125" s="243">
        <f>ROUND((D$126-D$123)*SUM(Data!C$151,-Data!C$152*1/3)/SUM(Data!C$147:C$149,-Data!C$150,Data!C$151,-Data!C$152),3)</f>
        <v>2.986</v>
      </c>
      <c r="E125" s="243">
        <f>ROUND((E$126-E$123)*SUM(Data!D$151,-Data!D$152*1/3)/SUM(Data!D$147:D$149,-Data!D$150,Data!D$151,-Data!D$152),3)</f>
        <v>4.814</v>
      </c>
      <c r="F125" s="420">
        <f>ROUND((F$126-F$123)*SUM(Data!E$151,-Data!E$152*1/3)/SUM(Data!E$147:E$149,-Data!E$150,Data!E$151,-Data!E$152),3)</f>
        <v>5.494</v>
      </c>
      <c r="G125" s="420">
        <f>ROUND((G$126-G$123)*SUM(Data!F$151,-Data!F$152*1/3)/SUM(Data!F$147:F$149,-Data!F$150,Data!F$151,-Data!F$152),3)</f>
        <v>5.346</v>
      </c>
      <c r="H125" s="420">
        <f>ROUND((H$126-H$123)*SUM(Data!G$151,-Data!G$152*1/3)/SUM(Data!G$147:G$149,-Data!G$150,Data!G$151,-Data!G$152),3)</f>
        <v>5.159</v>
      </c>
      <c r="I125" s="420">
        <f>ROUND((I$126-I$123)*SUM(Data!H$151,-Data!H$152*1/3)/SUM(Data!H$147:H$149,-Data!H$150,Data!H$151,-Data!H$152),3)</f>
        <v>5.312</v>
      </c>
      <c r="J125" s="420">
        <f>ROUND((J$126-J$123)*SUM(Data!I$151,-Data!I$152*1/3)/SUM(Data!I$147:I$149,-Data!I$150,Data!I$151,-Data!I$152),3)</f>
        <v>5.64</v>
      </c>
      <c r="K125" s="421">
        <f aca="true" t="shared" si="63" ref="K125:T125">J$125*(1+K$204)</f>
        <v>5.967095402827862</v>
      </c>
      <c r="L125" s="421">
        <f t="shared" si="63"/>
        <v>6.318809574021763</v>
      </c>
      <c r="M125" s="421">
        <f t="shared" si="63"/>
        <v>6.672812796818112</v>
      </c>
      <c r="N125" s="421">
        <f t="shared" si="63"/>
        <v>6.968386146021342</v>
      </c>
      <c r="O125" s="421">
        <f t="shared" si="63"/>
        <v>7.265253565520338</v>
      </c>
      <c r="P125" s="421">
        <f t="shared" si="63"/>
        <v>7.573114698034621</v>
      </c>
      <c r="Q125" s="421">
        <f t="shared" si="63"/>
        <v>7.89264039763964</v>
      </c>
      <c r="R125" s="421">
        <f t="shared" si="63"/>
        <v>8.222727273838645</v>
      </c>
      <c r="S125" s="421">
        <f t="shared" si="63"/>
        <v>8.568164366292237</v>
      </c>
      <c r="T125" s="421">
        <f t="shared" si="63"/>
        <v>8.926965722302644</v>
      </c>
    </row>
    <row r="126" spans="1:20" ht="12.75">
      <c r="A126" s="403" t="s">
        <v>376</v>
      </c>
      <c r="B126" s="409"/>
      <c r="C126" s="407"/>
      <c r="D126" s="96">
        <f>SUM(Data!C$57:C$58)</f>
        <v>45.706</v>
      </c>
      <c r="E126" s="96">
        <f>SUM(Data!D$57:D$58)</f>
        <v>54.153</v>
      </c>
      <c r="F126" s="422">
        <f>SUM(Data!E$57:E$58)</f>
        <v>65.34</v>
      </c>
      <c r="G126" s="422">
        <f>SUM(Data!F$57:F$58)</f>
        <v>61.867</v>
      </c>
      <c r="H126" s="422">
        <f>SUM(Data!G$57:G$58)</f>
        <v>62.554</v>
      </c>
      <c r="I126" s="422">
        <f>SUM(Data!H$57:H$58)</f>
        <v>61.609</v>
      </c>
      <c r="J126" s="422">
        <f>SUM(Data!I$57:I$58)</f>
        <v>62.383</v>
      </c>
      <c r="K126" s="412">
        <f>SUM(K$123:K$125)</f>
        <v>65.03163201413513</v>
      </c>
      <c r="L126" s="412">
        <f aca="true" t="shared" si="64" ref="L126:T126">SUM(L$123:L$125)</f>
        <v>67.86613900740667</v>
      </c>
      <c r="M126" s="412">
        <f t="shared" si="64"/>
        <v>70.79632411982448</v>
      </c>
      <c r="N126" s="412">
        <f t="shared" si="64"/>
        <v>73.6413184101146</v>
      </c>
      <c r="O126" s="412">
        <f t="shared" si="64"/>
        <v>76.58986287430315</v>
      </c>
      <c r="P126" s="412">
        <f t="shared" si="64"/>
        <v>79.67768531054884</v>
      </c>
      <c r="Q126" s="412">
        <f t="shared" si="64"/>
        <v>82.91321420999333</v>
      </c>
      <c r="R126" s="412">
        <f t="shared" si="64"/>
        <v>88.82158167055005</v>
      </c>
      <c r="S126" s="412">
        <f t="shared" si="64"/>
        <v>94.96658726315313</v>
      </c>
      <c r="T126" s="412">
        <f t="shared" si="64"/>
        <v>101.34578030232743</v>
      </c>
    </row>
    <row r="127" spans="1:20" ht="12.75">
      <c r="A127" s="403"/>
      <c r="B127" s="436"/>
      <c r="C127" s="407"/>
      <c r="D127" s="423"/>
      <c r="E127" s="423"/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</row>
    <row r="128" spans="1:20" ht="12.75">
      <c r="A128" s="418" t="s">
        <v>736</v>
      </c>
      <c r="B128" s="412"/>
      <c r="C128" s="407"/>
      <c r="D128" s="407"/>
      <c r="E128" s="407"/>
      <c r="F128" s="407"/>
      <c r="G128" s="407"/>
      <c r="H128" s="407"/>
      <c r="I128" s="407"/>
      <c r="J128" s="407"/>
      <c r="K128" s="407"/>
      <c r="L128" s="407"/>
      <c r="M128" s="407"/>
      <c r="N128" s="407"/>
      <c r="O128" s="407"/>
      <c r="P128" s="407"/>
      <c r="Q128" s="407"/>
      <c r="R128" s="407"/>
      <c r="S128" s="407"/>
      <c r="T128" s="407"/>
    </row>
    <row r="129" spans="1:20" ht="12.75">
      <c r="A129" s="426" t="s">
        <v>143</v>
      </c>
      <c r="B129" s="410"/>
      <c r="C129" s="407"/>
      <c r="D129" s="450">
        <f>Data!C$170</f>
        <v>9.855</v>
      </c>
      <c r="E129" s="407">
        <f aca="true" t="shared" si="65" ref="E129:K129">D$136</f>
        <v>12.973</v>
      </c>
      <c r="F129" s="408">
        <f t="shared" si="65"/>
        <v>14.212000000000002</v>
      </c>
      <c r="G129" s="408">
        <f t="shared" si="65"/>
        <v>13.275</v>
      </c>
      <c r="H129" s="408">
        <f t="shared" si="65"/>
        <v>14.59</v>
      </c>
      <c r="I129" s="408">
        <f t="shared" si="65"/>
        <v>15.791</v>
      </c>
      <c r="J129" s="408">
        <f t="shared" si="65"/>
        <v>17.124</v>
      </c>
      <c r="K129" s="392">
        <f t="shared" si="65"/>
        <v>18.604</v>
      </c>
      <c r="L129" s="392">
        <f>K$136</f>
        <v>19.85343229011064</v>
      </c>
      <c r="M129" s="392">
        <f>L$136</f>
        <v>21.185002258973153</v>
      </c>
      <c r="N129" s="392">
        <f>M$136</f>
        <v>22.604109637588685</v>
      </c>
      <c r="O129" s="392">
        <f>N$136</f>
        <v>24.116509135274402</v>
      </c>
      <c r="P129" s="392">
        <f>O$136</f>
        <v>25.72833377593798</v>
      </c>
      <c r="Q129" s="392">
        <f>P$136</f>
        <v>27.44611976847878</v>
      </c>
      <c r="R129" s="392">
        <f>Q$136</f>
        <v>29.276833012169213</v>
      </c>
      <c r="S129" s="392">
        <f>R$136</f>
        <v>34.09675162158165</v>
      </c>
      <c r="T129" s="392">
        <f>S$136</f>
        <v>39.11733236718177</v>
      </c>
    </row>
    <row r="130" spans="1:20" ht="12.75">
      <c r="A130" s="444" t="s">
        <v>373</v>
      </c>
      <c r="B130" s="409"/>
      <c r="C130" s="407"/>
      <c r="D130" s="407">
        <f>Data!C$171</f>
        <v>2.0490000000000004</v>
      </c>
      <c r="E130" s="407">
        <f>Data!D$171</f>
        <v>2.104</v>
      </c>
      <c r="F130" s="408">
        <f>Data!E$171</f>
        <v>2.242</v>
      </c>
      <c r="G130" s="408">
        <f>Data!F$171</f>
        <v>0.25</v>
      </c>
      <c r="H130" s="408">
        <f>Data!G$171</f>
        <v>0</v>
      </c>
      <c r="I130" s="408">
        <f>Data!H$171</f>
        <v>0</v>
      </c>
      <c r="J130" s="408">
        <f>Data!I$171</f>
        <v>0</v>
      </c>
      <c r="K130" s="392">
        <f>IF(Tracks!N$6=0,Tracks!O$6,J$130*Tracks!O$6/Tracks!N$6)</f>
        <v>0</v>
      </c>
      <c r="L130" s="392">
        <f>IF(Tracks!O$6=0,Tracks!P$6,K$130*Tracks!P$6/Tracks!O$6)</f>
        <v>0</v>
      </c>
      <c r="M130" s="392">
        <f>IF(Tracks!P$6=0,Tracks!Q$6,L$130*Tracks!Q$6/Tracks!P$6)</f>
        <v>0</v>
      </c>
      <c r="N130" s="392">
        <f>IF(Tracks!Q$6=0,Tracks!R$6,M$130*Tracks!R$6/Tracks!Q$6)</f>
        <v>0</v>
      </c>
      <c r="O130" s="392">
        <f>IF(Tracks!R$6=0,Tracks!S$6,N$130*Tracks!S$6/Tracks!R$6)</f>
        <v>0</v>
      </c>
      <c r="P130" s="392">
        <f>IF(Tracks!S$6=0,Tracks!T$6,O$130*Tracks!T$6/Tracks!S$6)</f>
        <v>0</v>
      </c>
      <c r="Q130" s="392">
        <f>IF(Tracks!T$6=0,Tracks!U$6,P$130*Tracks!U$6/Tracks!T$6)</f>
        <v>0</v>
      </c>
      <c r="R130" s="392">
        <f>IF(Tracks!U$6=0,Tracks!V$6,Q$130*Tracks!V$6/Tracks!U$6)</f>
        <v>2.780079767097238</v>
      </c>
      <c r="S130" s="392">
        <f>IF(Tracks!V$6=0,Tracks!W$6,R$130*Tracks!W$6/Tracks!V$6)</f>
        <v>2.6636523872256745</v>
      </c>
      <c r="T130" s="392">
        <f>IF(Tracks!W$6=0,Tracks!X$6,S$130*Tracks!X$6/Tracks!W$6)</f>
        <v>2.538321823783427</v>
      </c>
    </row>
    <row r="131" spans="1:20" ht="12.75">
      <c r="A131" s="444" t="s">
        <v>731</v>
      </c>
      <c r="B131" s="409"/>
      <c r="C131" s="407"/>
      <c r="D131" s="407">
        <f>Data!C$166</f>
        <v>0.436</v>
      </c>
      <c r="E131" s="407">
        <f>Data!D$166</f>
        <v>0.385</v>
      </c>
      <c r="F131" s="408">
        <f>Data!E$166</f>
        <v>0.399</v>
      </c>
      <c r="G131" s="408">
        <f>Data!F$166</f>
        <v>0.397</v>
      </c>
      <c r="H131" s="408">
        <f>Data!G$166</f>
        <v>0.424</v>
      </c>
      <c r="I131" s="408">
        <f>Data!H$166</f>
        <v>0.458</v>
      </c>
      <c r="J131" s="408">
        <f>Data!I$166</f>
        <v>0.498</v>
      </c>
      <c r="K131" s="392">
        <f>IF(Tracks!N$7=0,(J$131/SUM(J$131,J$132,-J$134))*Tracks!O$7,J$131*Tracks!O$7/Tracks!N$7)</f>
        <v>0.42627899361702126</v>
      </c>
      <c r="L131" s="392">
        <f>IF(Tracks!O$7=0,(K$131/SUM(K$131,K$132,-K$134))*Tracks!P$7,K$131*Tracks!P$7/Tracks!O$7)</f>
        <v>0.45430257465740426</v>
      </c>
      <c r="M131" s="392">
        <f>IF(Tracks!P$7=0,(L$131/SUM(L$131,L$132,-L$134))*Tracks!Q$7,L$131*Tracks!Q$7/Tracks!P$7)</f>
        <v>0.484168425915382</v>
      </c>
      <c r="N131" s="392">
        <f>IF(Tracks!Q$7=0,(M$131/SUM(M$131,M$132,-M$134))*Tracks!R$7,M$131*Tracks!R$7/Tracks!Q$7)</f>
        <v>0.5159976582350592</v>
      </c>
      <c r="O131" s="392">
        <f>IF(Tracks!R$7=0,(N$131/SUM(N$131,N$132,-N$134))*Tracks!S$7,N$131*Tracks!S$7/Tracks!R$7)</f>
        <v>0.549919344287432</v>
      </c>
      <c r="P131" s="392">
        <f>IF(Tracks!S$7=0,(O$131/SUM(O$131,O$132,-O$134))*Tracks!T$7,O$131*Tracks!T$7/Tracks!S$7)</f>
        <v>0.5860710419808878</v>
      </c>
      <c r="Q131" s="392">
        <f>IF(Tracks!T$7=0,(P$131/SUM(P$131,P$132,-P$134))*Tracks!U$7,P$131*Tracks!U$7/Tracks!T$7)</f>
        <v>0.6245993522807113</v>
      </c>
      <c r="R131" s="392">
        <f>IF(Tracks!U$7=0,(Q$131/SUM(Q$131,Q$132,-Q$134))*Tracks!V$7,Q$131*Tracks!V$7/Tracks!U$7)</f>
        <v>0.6959484365223462</v>
      </c>
      <c r="S131" s="392">
        <f>IF(Tracks!V$7=0,(R$131/SUM(R$131,R$132,-R$134))*Tracks!W$7,R$131*Tracks!W$7/Tracks!V$7)</f>
        <v>0.8041324500636258</v>
      </c>
      <c r="T131" s="392">
        <f>IF(Tracks!W$7=0,(S$131/SUM(S$131,S$132,-S$134))*Tracks!X$7,S$131*Tracks!X$7/Tracks!W$7)</f>
        <v>0.9166637485851877</v>
      </c>
    </row>
    <row r="132" spans="1:20" ht="12.75">
      <c r="A132" s="444" t="s">
        <v>735</v>
      </c>
      <c r="B132" s="409"/>
      <c r="C132" s="407"/>
      <c r="D132" s="407">
        <f>Data!C$169</f>
        <v>1.313</v>
      </c>
      <c r="E132" s="407">
        <f>Data!D$169</f>
        <v>-0.995</v>
      </c>
      <c r="F132" s="408">
        <f>Data!E$169</f>
        <v>-4.582</v>
      </c>
      <c r="G132" s="408">
        <f>Data!F$169</f>
        <v>1.129</v>
      </c>
      <c r="H132" s="408">
        <f>Data!G$169</f>
        <v>1.277</v>
      </c>
      <c r="I132" s="408">
        <f>Data!H$169</f>
        <v>1.41</v>
      </c>
      <c r="J132" s="408">
        <f>Data!I$169</f>
        <v>1.541</v>
      </c>
      <c r="K132" s="392">
        <f>IF(Tracks!N$7=0,(J$132/SUM(J$131,J$132,-J$134))*Tracks!O$7,J$132*Tracks!O$7/Tracks!N$7)</f>
        <v>1.319068130851064</v>
      </c>
      <c r="L132" s="392">
        <f>IF(Tracks!O$7=0,(K$132/SUM(K$131,K$132,-K$134))*Tracks!P$7,K$132*Tracks!P$7/Tracks!O$7)</f>
        <v>1.4057836697732127</v>
      </c>
      <c r="M132" s="392">
        <f>IF(Tracks!P$7=0,(L$132/SUM(L$131,L$132,-L$134))*Tracks!Q$7,L$132*Tracks!Q$7/Tracks!P$7)</f>
        <v>1.4981998882241037</v>
      </c>
      <c r="N132" s="392">
        <f>IF(Tracks!Q$7=0,(M$132/SUM(M$131,M$132,-M$134))*Tracks!R$7,M$132*Tracks!R$7/Tracks!Q$7)</f>
        <v>1.596691548875956</v>
      </c>
      <c r="O132" s="392">
        <f>IF(Tracks!R$7=0,(N$132/SUM(N$131,N$132,-N$134))*Tracks!S$7,N$132*Tracks!S$7/Tracks!R$7)</f>
        <v>1.7016580512990616</v>
      </c>
      <c r="P132" s="392">
        <f>IF(Tracks!S$7=0,(O$132/SUM(O$131,O$132,-O$134))*Tracks!T$7,O$132*Tracks!T$7/Tracks!S$7)</f>
        <v>1.8135250515914618</v>
      </c>
      <c r="Q132" s="392">
        <f>IF(Tracks!T$7=0,(P$132/SUM(P$131,P$132,-P$134))*Tracks!U$7,P$132*Tracks!U$7/Tracks!T$7)</f>
        <v>1.9327461884830843</v>
      </c>
      <c r="R132" s="392">
        <f>IF(Tracks!U$7=0,(Q$132/SUM(Q$131,Q$132,-Q$134))*Tracks!V$7,Q$132*Tracks!V$7/Tracks!U$7)</f>
        <v>2.1535271901223605</v>
      </c>
      <c r="S132" s="392">
        <f>IF(Tracks!V$7=0,(R$132/SUM(R$131,R$132,-R$134))*Tracks!W$7,R$132*Tracks!W$7/Tracks!V$7)</f>
        <v>2.4882893685703764</v>
      </c>
      <c r="T132" s="392">
        <f>IF(Tracks!W$7=0,(S$132/SUM(S$131,S$132,-S$134))*Tracks!X$7,S$132*Tracks!X$7/Tracks!W$7)</f>
        <v>2.8365036878911134</v>
      </c>
    </row>
    <row r="133" spans="1:20" ht="12.75">
      <c r="A133" s="227" t="s">
        <v>733</v>
      </c>
      <c r="B133" s="409"/>
      <c r="C133" s="407"/>
      <c r="D133" s="407">
        <f>Data!C$167</f>
        <v>-0.052</v>
      </c>
      <c r="E133" s="407">
        <f>Data!D$167</f>
        <v>0.034</v>
      </c>
      <c r="F133" s="408">
        <f>Data!E$167</f>
        <v>-0.84</v>
      </c>
      <c r="G133" s="408">
        <f>Data!F$167</f>
        <v>0.461</v>
      </c>
      <c r="H133" s="408">
        <f>Data!G$167</f>
        <v>0.5</v>
      </c>
      <c r="I133" s="408">
        <f>Data!H$167</f>
        <v>0.37</v>
      </c>
      <c r="J133" s="408">
        <f>Data!I$167</f>
        <v>0.159</v>
      </c>
      <c r="K133" s="392">
        <f>IF(Tracks!N$8=0,Tracks!O$6,J$133*Tracks!O$8/Tracks!N$8)</f>
        <v>0.15352206839999996</v>
      </c>
      <c r="L133" s="392">
        <f>IF(Tracks!O$8=0,Tracks!P$6,K$133*Tracks!P$8/Tracks!O$8)</f>
        <v>0.16361460917661597</v>
      </c>
      <c r="M133" s="392">
        <f>IF(Tracks!P$8=0,Tracks!Q$6,L$133*Tracks!Q$8/Tracks!P$8)</f>
        <v>0.17437063358388669</v>
      </c>
      <c r="N133" s="392">
        <f>IF(Tracks!Q$8=0,Tracks!R$6,M$133*Tracks!R$8/Tracks!Q$8)</f>
        <v>0.18583375903569138</v>
      </c>
      <c r="O133" s="392">
        <f>IF(Tracks!R$8=0,Tracks!S$6,N$133*Tracks!S$8/Tracks!R$8)</f>
        <v>0.19805047035469775</v>
      </c>
      <c r="P133" s="392">
        <f>IF(Tracks!S$8=0,Tracks!T$6,O$133*Tracks!T$8/Tracks!S$8)</f>
        <v>0.2110703082758156</v>
      </c>
      <c r="Q133" s="392">
        <f>IF(Tracks!T$8=0,Tracks!U$6,P$133*Tracks!U$8/Tracks!T$8)</f>
        <v>0.2249460703418677</v>
      </c>
      <c r="R133" s="392">
        <f>IF(Tracks!U$8=0,Tracks!V$6,Q$133*Tracks!V$8/Tracks!U$8)</f>
        <v>0.25064205619910807</v>
      </c>
      <c r="S133" s="392">
        <f>IF(Tracks!V$8=0,Tracks!W$6,R$133*Tracks!W$8/Tracks!V$8)</f>
        <v>0.28960394213616747</v>
      </c>
      <c r="T133" s="392">
        <f>IF(Tracks!W$8=0,Tracks!X$6,S$133*Tracks!X$8/Tracks!W$8)</f>
        <v>0.3301314791892582</v>
      </c>
    </row>
    <row r="134" spans="1:20" ht="12.75">
      <c r="A134" s="227" t="s">
        <v>732</v>
      </c>
      <c r="B134" s="409"/>
      <c r="C134" s="407"/>
      <c r="D134" s="407">
        <f>Data!C$168</f>
        <v>0.707</v>
      </c>
      <c r="E134" s="407">
        <f>Data!D$168</f>
        <v>0.237</v>
      </c>
      <c r="F134" s="408">
        <f>Data!E$168</f>
        <v>-0.083</v>
      </c>
      <c r="G134" s="408">
        <f>Data!F$168</f>
        <v>0</v>
      </c>
      <c r="H134" s="408">
        <f>Data!G$168</f>
        <v>0</v>
      </c>
      <c r="I134" s="408">
        <f>Data!H$168</f>
        <v>0.165</v>
      </c>
      <c r="J134" s="408">
        <f>Data!I$168</f>
        <v>0.4</v>
      </c>
      <c r="K134" s="392">
        <f>IF(Tracks!N$7=0,-(-J$134/SUM(J$131,J$132,-J$134))*Tracks!O$7,J$134*Tracks!O$7/Tracks!N$7)</f>
        <v>0.34239276595744683</v>
      </c>
      <c r="L134" s="392">
        <f>IF(Tracks!O$7=0,-(-K$134/SUM(K$131,K$132,-K$134))*Tracks!P$7,K$134*Tracks!P$7/Tracks!O$7)</f>
        <v>0.3649016663914894</v>
      </c>
      <c r="M134" s="392">
        <f>IF(Tracks!P$7=0,-(-L$134/SUM(L$131,L$132,-L$134))*Tracks!Q$7,L$134*Tracks!Q$7/Tracks!P$7)</f>
        <v>0.3888903019400659</v>
      </c>
      <c r="N134" s="392">
        <f>IF(Tracks!Q$7=0,-(-M$134/SUM(M$131,M$132,-M$134))*Tracks!R$7,M$134*Tracks!R$7/Tracks!Q$7)</f>
        <v>0.4144559503896058</v>
      </c>
      <c r="O134" s="392">
        <f>IF(Tracks!R$7=0,-(-N$134/SUM(N$131,N$132,-N$134))*Tracks!S$7,N$134*Tracks!S$7/Tracks!R$7)</f>
        <v>0.44170228456821853</v>
      </c>
      <c r="P134" s="392">
        <f>IF(Tracks!S$7=0,-(-O$134/SUM(O$131,O$132,-O$134))*Tracks!T$7,O$134*Tracks!T$7/Tracks!S$7)</f>
        <v>0.4707397927557332</v>
      </c>
      <c r="Q134" s="392">
        <f>IF(Tracks!T$7=0,-(-P$134/SUM(P$131,P$132,-P$134))*Tracks!U$7,P$134*Tracks!U$7/Tracks!T$7)</f>
        <v>0.501686226731495</v>
      </c>
      <c r="R134" s="392">
        <f>IF(Tracks!U$7=0,-(-Q$134/SUM(Q$131,Q$132,-Q$134))*Tracks!V$7,Q$134*Tracks!V$7/Tracks!U$7)</f>
        <v>0.5589947281303985</v>
      </c>
      <c r="S134" s="392">
        <f>IF(Tracks!V$7=0,-(-R$134/SUM(R$131,R$132,-R$134))*Tracks!W$7,R$134*Tracks!W$7/Tracks!V$7)</f>
        <v>0.6458895181233942</v>
      </c>
      <c r="T134" s="392">
        <f>IF(Tracks!W$7=0,-(-S$134/SUM(S$131,S$132,-S$134))*Tracks!X$7,S$134*Tracks!X$7/Tracks!W$7)</f>
        <v>0.7362761032812752</v>
      </c>
    </row>
    <row r="135" spans="1:20" ht="12.75">
      <c r="A135" s="444" t="s">
        <v>734</v>
      </c>
      <c r="B135" s="409"/>
      <c r="C135" s="407"/>
      <c r="D135" s="419">
        <f>Data!C$172</f>
        <v>-0.025</v>
      </c>
      <c r="E135" s="419">
        <f>Data!D$172</f>
        <v>0.016</v>
      </c>
      <c r="F135" s="420">
        <f>Data!E$172</f>
        <v>0.081</v>
      </c>
      <c r="G135" s="420">
        <f>Data!F$172</f>
        <v>0</v>
      </c>
      <c r="H135" s="420">
        <f>Data!G$172</f>
        <v>0</v>
      </c>
      <c r="I135" s="420">
        <f>Data!H$172</f>
        <v>0</v>
      </c>
      <c r="J135" s="420">
        <f>Data!I$172</f>
        <v>0</v>
      </c>
      <c r="K135" s="421">
        <f>IF(K$2="Proj Yr1",0,J$135)</f>
        <v>0</v>
      </c>
      <c r="L135" s="421">
        <f>IF(L$2="Proj Yr1",0,K$135)</f>
        <v>0</v>
      </c>
      <c r="M135" s="421">
        <f>IF(M$2="Proj Yr1",0,L$135)</f>
        <v>0</v>
      </c>
      <c r="N135" s="421">
        <f>IF(N$2="Proj Yr1",0,M$135)</f>
        <v>0</v>
      </c>
      <c r="O135" s="421">
        <f>IF(O$2="Proj Yr1",0,N$135)</f>
        <v>0</v>
      </c>
      <c r="P135" s="421">
        <f>IF(P$2="Proj Yr1",0,O$135)</f>
        <v>0</v>
      </c>
      <c r="Q135" s="421">
        <f>IF(Q$2="Proj Yr1",0,P$135)</f>
        <v>0</v>
      </c>
      <c r="R135" s="421">
        <f>IF(R$2="Proj Yr1",0,Q$135)</f>
        <v>0</v>
      </c>
      <c r="S135" s="421">
        <f>IF(S$2="Proj Yr1",0,R$135)</f>
        <v>0</v>
      </c>
      <c r="T135" s="421">
        <f>IF(T$2="Proj Yr1",0,S$135)</f>
        <v>0</v>
      </c>
    </row>
    <row r="136" spans="1:20" ht="12.75">
      <c r="A136" s="403" t="s">
        <v>144</v>
      </c>
      <c r="B136" s="410"/>
      <c r="C136" s="407"/>
      <c r="D136" s="417">
        <f>SUM(D$129:D$132,D$135)-SUM(D$133:D$134)</f>
        <v>12.973</v>
      </c>
      <c r="E136" s="417">
        <f>SUM(E$129:E$132,E$135)-SUM(E$133:E$134)</f>
        <v>14.212000000000002</v>
      </c>
      <c r="F136" s="422">
        <f>SUM(F$129:F$132,F$135)-SUM(F$133:F$134)</f>
        <v>13.275</v>
      </c>
      <c r="G136" s="422">
        <f>SUM(G$129:G$132,G$135)-SUM(G$133:G$134)</f>
        <v>14.59</v>
      </c>
      <c r="H136" s="422">
        <f>SUM(H$129:H$132,H$135)-SUM(H$133:H$134)</f>
        <v>15.791</v>
      </c>
      <c r="I136" s="422">
        <f>SUM(I$129:I$132,I$135)-SUM(I$133:I$134)</f>
        <v>17.124</v>
      </c>
      <c r="J136" s="422">
        <f>SUM(J$129:J$132,J$135)-SUM(J$133:J$134)</f>
        <v>18.604</v>
      </c>
      <c r="K136" s="423">
        <f>SUM(K$129:K$132,K$135)-SUM(K$133:K$134)</f>
        <v>19.85343229011064</v>
      </c>
      <c r="L136" s="423">
        <f aca="true" t="shared" si="66" ref="L136:T136">SUM(L$129:L$132)-SUM(L$133,L$134)</f>
        <v>21.185002258973153</v>
      </c>
      <c r="M136" s="423">
        <f t="shared" si="66"/>
        <v>22.604109637588685</v>
      </c>
      <c r="N136" s="423">
        <f t="shared" si="66"/>
        <v>24.116509135274402</v>
      </c>
      <c r="O136" s="423">
        <f t="shared" si="66"/>
        <v>25.72833377593798</v>
      </c>
      <c r="P136" s="423">
        <f t="shared" si="66"/>
        <v>27.44611976847878</v>
      </c>
      <c r="Q136" s="423">
        <f t="shared" si="66"/>
        <v>29.276833012169213</v>
      </c>
      <c r="R136" s="423">
        <f t="shared" si="66"/>
        <v>34.09675162158165</v>
      </c>
      <c r="S136" s="423">
        <f t="shared" si="66"/>
        <v>39.11733236718177</v>
      </c>
      <c r="T136" s="423">
        <f t="shared" si="66"/>
        <v>44.342414044970965</v>
      </c>
    </row>
    <row r="137" spans="1:20" ht="12.75">
      <c r="A137" s="418" t="s">
        <v>758</v>
      </c>
      <c r="B137" s="412"/>
      <c r="C137" s="407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  <c r="O137" s="412"/>
      <c r="P137" s="412"/>
      <c r="Q137" s="412"/>
      <c r="R137" s="412"/>
      <c r="S137" s="412"/>
      <c r="T137" s="412"/>
    </row>
    <row r="138" spans="1:20" ht="12.75">
      <c r="A138" s="323" t="s">
        <v>802</v>
      </c>
      <c r="B138" s="409"/>
      <c r="C138" s="407"/>
      <c r="D138" s="407">
        <f>Data!C$175</f>
        <v>0.119</v>
      </c>
      <c r="E138" s="407">
        <f>Data!D$175</f>
        <v>0.097</v>
      </c>
      <c r="F138" s="408">
        <f>Data!E$175</f>
        <v>0.103</v>
      </c>
      <c r="G138" s="408">
        <f>Data!F$175</f>
        <v>0.111</v>
      </c>
      <c r="H138" s="408">
        <f>Data!G$175</f>
        <v>0.115</v>
      </c>
      <c r="I138" s="408">
        <f>Data!H$175</f>
        <v>0.125</v>
      </c>
      <c r="J138" s="408">
        <f>Data!I$175</f>
        <v>0.136</v>
      </c>
      <c r="K138" s="98">
        <f>J$138*K$134/J$134</f>
        <v>0.11641354042553193</v>
      </c>
      <c r="L138" s="98">
        <f aca="true" t="shared" si="67" ref="L138:T138">K$138*L$134/K$134</f>
        <v>0.12406656657310641</v>
      </c>
      <c r="M138" s="98">
        <f t="shared" si="67"/>
        <v>0.1322227026596224</v>
      </c>
      <c r="N138" s="98">
        <f t="shared" si="67"/>
        <v>0.14091502313246598</v>
      </c>
      <c r="O138" s="98">
        <f t="shared" si="67"/>
        <v>0.15017877675319433</v>
      </c>
      <c r="P138" s="98">
        <f t="shared" si="67"/>
        <v>0.16005152953694932</v>
      </c>
      <c r="Q138" s="98">
        <f t="shared" si="67"/>
        <v>0.17057331708870835</v>
      </c>
      <c r="R138" s="98">
        <f t="shared" si="67"/>
        <v>0.19005820756433556</v>
      </c>
      <c r="S138" s="98">
        <f t="shared" si="67"/>
        <v>0.2196024361619541</v>
      </c>
      <c r="T138" s="98">
        <f t="shared" si="67"/>
        <v>0.25033387511563365</v>
      </c>
    </row>
    <row r="139" spans="1:20" ht="12.75">
      <c r="A139" s="323" t="s">
        <v>757</v>
      </c>
      <c r="B139" s="409"/>
      <c r="C139" s="407"/>
      <c r="D139" s="407">
        <f>Data!C$87</f>
        <v>11.576</v>
      </c>
      <c r="E139" s="407">
        <f>Data!D$87</f>
        <v>12.934</v>
      </c>
      <c r="F139" s="408">
        <f>Data!E$87</f>
        <v>11.668</v>
      </c>
      <c r="G139" s="408">
        <f>Data!F$87</f>
        <v>13.258</v>
      </c>
      <c r="H139" s="408">
        <f>Data!G$87</f>
        <v>14.825</v>
      </c>
      <c r="I139" s="408">
        <f>Data!H$87</f>
        <v>16.732</v>
      </c>
      <c r="J139" s="408">
        <f>Data!I$87</f>
        <v>18.612</v>
      </c>
      <c r="K139" s="392">
        <f aca="true" t="shared" si="68" ref="K139:T139">J$139*K$136/J$136</f>
        <v>19.861969564800003</v>
      </c>
      <c r="L139" s="392">
        <f t="shared" si="68"/>
        <v>21.194112128789957</v>
      </c>
      <c r="M139" s="392">
        <f t="shared" si="68"/>
        <v>22.613829744936606</v>
      </c>
      <c r="N139" s="392">
        <f t="shared" si="68"/>
        <v>24.126879597168735</v>
      </c>
      <c r="O139" s="392">
        <f t="shared" si="68"/>
        <v>25.73939734668661</v>
      </c>
      <c r="P139" s="392">
        <f t="shared" si="68"/>
        <v>27.457922013057786</v>
      </c>
      <c r="Q139" s="392">
        <f t="shared" si="68"/>
        <v>29.289422490996202</v>
      </c>
      <c r="R139" s="392">
        <f t="shared" si="68"/>
        <v>34.111413737953</v>
      </c>
      <c r="S139" s="392">
        <f t="shared" si="68"/>
        <v>39.134153408836106</v>
      </c>
      <c r="T139" s="392">
        <f t="shared" si="68"/>
        <v>44.36148195038698</v>
      </c>
    </row>
    <row r="140" spans="1:20" ht="12.75">
      <c r="A140" s="424"/>
      <c r="B140" s="410"/>
      <c r="C140" s="407"/>
      <c r="D140" s="407"/>
      <c r="E140" s="407"/>
      <c r="F140" s="408"/>
      <c r="G140" s="408"/>
      <c r="H140" s="408"/>
      <c r="I140" s="408"/>
      <c r="J140" s="408"/>
      <c r="T140" s="392"/>
    </row>
    <row r="141" spans="1:20" ht="12.75">
      <c r="A141" s="418" t="s">
        <v>750</v>
      </c>
      <c r="B141" s="410"/>
      <c r="C141" s="407"/>
      <c r="D141" s="407"/>
      <c r="E141" s="407"/>
      <c r="F141" s="408"/>
      <c r="G141" s="408"/>
      <c r="H141" s="408"/>
      <c r="I141" s="408"/>
      <c r="J141" s="408"/>
      <c r="T141" s="392"/>
    </row>
    <row r="142" spans="1:20" ht="12.75">
      <c r="A142" s="424" t="s">
        <v>360</v>
      </c>
      <c r="B142" s="407"/>
      <c r="C142" s="407"/>
      <c r="D142" s="407">
        <f>D$144-D$155</f>
        <v>3.0760000000000014</v>
      </c>
      <c r="E142" s="407">
        <f>E$144-E$155</f>
        <v>3.537000000000001</v>
      </c>
      <c r="F142" s="408">
        <f>F$144-F$155</f>
        <v>4.044000000000001</v>
      </c>
      <c r="G142" s="408">
        <f>G$144-G$155</f>
        <v>4.314</v>
      </c>
      <c r="H142" s="408">
        <f>H$144-H$155</f>
        <v>4.373000000000001</v>
      </c>
      <c r="I142" s="408">
        <f>I$144-I$155</f>
        <v>4.347000000000001</v>
      </c>
      <c r="J142" s="408">
        <f>J$144-J$155</f>
        <v>4.285000000000002</v>
      </c>
      <c r="K142" s="392">
        <f aca="true" t="shared" si="69" ref="K142:T142">J$142*(1+K$206)</f>
        <v>4.366637585550162</v>
      </c>
      <c r="L142" s="392">
        <f t="shared" si="69"/>
        <v>4.453970337261166</v>
      </c>
      <c r="M142" s="392">
        <f t="shared" si="69"/>
        <v>4.543049744006389</v>
      </c>
      <c r="N142" s="392">
        <f t="shared" si="69"/>
        <v>4.633910738886517</v>
      </c>
      <c r="O142" s="392">
        <f t="shared" si="69"/>
        <v>4.726588953664247</v>
      </c>
      <c r="P142" s="392">
        <f t="shared" si="69"/>
        <v>4.821120732737532</v>
      </c>
      <c r="Q142" s="392">
        <f t="shared" si="69"/>
        <v>4.917543147392283</v>
      </c>
      <c r="R142" s="392">
        <f t="shared" si="69"/>
        <v>5.015894010340128</v>
      </c>
      <c r="S142" s="392">
        <f t="shared" si="69"/>
        <v>5.116211890546931</v>
      </c>
      <c r="T142" s="392">
        <f t="shared" si="69"/>
        <v>5.2185361283578695</v>
      </c>
    </row>
    <row r="143" spans="1:20" ht="12.75">
      <c r="A143" s="424" t="s">
        <v>751</v>
      </c>
      <c r="B143" s="410"/>
      <c r="C143" s="407"/>
      <c r="D143" s="419">
        <f>D$155</f>
        <v>6.011</v>
      </c>
      <c r="E143" s="419">
        <f aca="true" t="shared" si="70" ref="E143:T143">E$155</f>
        <v>6.741</v>
      </c>
      <c r="F143" s="420">
        <f t="shared" si="70"/>
        <v>7.130999999999999</v>
      </c>
      <c r="G143" s="420">
        <f t="shared" si="70"/>
        <v>7.6579999999999995</v>
      </c>
      <c r="H143" s="420">
        <f t="shared" si="70"/>
        <v>8.196</v>
      </c>
      <c r="I143" s="420">
        <f t="shared" si="70"/>
        <v>8.719999999999999</v>
      </c>
      <c r="J143" s="420">
        <f t="shared" si="70"/>
        <v>9.231999999999998</v>
      </c>
      <c r="K143" s="421">
        <f t="shared" si="70"/>
        <v>9.71902648108875</v>
      </c>
      <c r="L143" s="421">
        <f t="shared" si="70"/>
        <v>10.172777644165397</v>
      </c>
      <c r="M143" s="421">
        <f t="shared" si="70"/>
        <v>10.597195480585434</v>
      </c>
      <c r="N143" s="421">
        <f t="shared" si="70"/>
        <v>10.999710898404114</v>
      </c>
      <c r="O143" s="421">
        <f t="shared" si="70"/>
        <v>11.385620860244812</v>
      </c>
      <c r="P143" s="421">
        <f t="shared" si="70"/>
        <v>11.761885253035427</v>
      </c>
      <c r="Q143" s="421">
        <f t="shared" si="70"/>
        <v>12.130362976589469</v>
      </c>
      <c r="R143" s="421">
        <f t="shared" si="70"/>
        <v>12.496461296619778</v>
      </c>
      <c r="S143" s="421">
        <f t="shared" si="70"/>
        <v>12.869355874446683</v>
      </c>
      <c r="T143" s="421">
        <f t="shared" si="70"/>
        <v>13.25126460504993</v>
      </c>
    </row>
    <row r="144" spans="1:20" ht="12.75">
      <c r="A144" s="403" t="s">
        <v>752</v>
      </c>
      <c r="B144" s="409"/>
      <c r="C144" s="407"/>
      <c r="D144" s="417">
        <f>Data!C$190</f>
        <v>9.087000000000002</v>
      </c>
      <c r="E144" s="417">
        <f>Data!D$190</f>
        <v>10.278</v>
      </c>
      <c r="F144" s="422">
        <f>Data!E$190</f>
        <v>11.175</v>
      </c>
      <c r="G144" s="422">
        <f>Data!F$190</f>
        <v>11.972</v>
      </c>
      <c r="H144" s="422">
        <f>Data!G$190</f>
        <v>12.569</v>
      </c>
      <c r="I144" s="422">
        <f>Data!H$190</f>
        <v>13.067</v>
      </c>
      <c r="J144" s="422">
        <f>Data!I$190</f>
        <v>13.517</v>
      </c>
      <c r="K144" s="423">
        <f aca="true" t="shared" si="71" ref="K144:T144">SUM(K$142:K$143)</f>
        <v>14.085664066638913</v>
      </c>
      <c r="L144" s="423">
        <f t="shared" si="71"/>
        <v>14.626747981426561</v>
      </c>
      <c r="M144" s="423">
        <f t="shared" si="71"/>
        <v>15.140245224591823</v>
      </c>
      <c r="N144" s="423">
        <f t="shared" si="71"/>
        <v>15.63362163729063</v>
      </c>
      <c r="O144" s="423">
        <f t="shared" si="71"/>
        <v>16.112209813909057</v>
      </c>
      <c r="P144" s="423">
        <f t="shared" si="71"/>
        <v>16.583005985772957</v>
      </c>
      <c r="Q144" s="423">
        <f t="shared" si="71"/>
        <v>17.04790612398175</v>
      </c>
      <c r="R144" s="423">
        <f t="shared" si="71"/>
        <v>17.512355306959904</v>
      </c>
      <c r="S144" s="423">
        <f t="shared" si="71"/>
        <v>17.985567764993615</v>
      </c>
      <c r="T144" s="423">
        <f t="shared" si="71"/>
        <v>18.469800733407798</v>
      </c>
    </row>
    <row r="145" spans="1:20" ht="12.75">
      <c r="A145" s="403" t="s">
        <v>756</v>
      </c>
      <c r="B145" s="409"/>
      <c r="C145" s="407"/>
      <c r="D145" s="417">
        <f>Data!C$59</f>
        <v>11.793</v>
      </c>
      <c r="E145" s="417">
        <f>Data!D$59</f>
        <v>12.948</v>
      </c>
      <c r="F145" s="422">
        <f>Data!E$59</f>
        <v>15.042</v>
      </c>
      <c r="G145" s="422">
        <f>Data!F$59</f>
        <v>17.268</v>
      </c>
      <c r="H145" s="422">
        <f>Data!G$59</f>
        <v>18.905</v>
      </c>
      <c r="I145" s="422">
        <f>Data!H$59</f>
        <v>19.502</v>
      </c>
      <c r="J145" s="422">
        <f>Data!I$59</f>
        <v>20.124</v>
      </c>
      <c r="K145" s="423">
        <f aca="true" t="shared" si="72" ref="K145:T145">SUM(K$144,(J$145-J$144)*(1+K$206))</f>
        <v>20.818540269142975</v>
      </c>
      <c r="L145" s="423">
        <f t="shared" si="72"/>
        <v>21.494281707980704</v>
      </c>
      <c r="M145" s="423">
        <f t="shared" si="72"/>
        <v>22.14512962567705</v>
      </c>
      <c r="N145" s="423">
        <f t="shared" si="72"/>
        <v>22.778603726397563</v>
      </c>
      <c r="O145" s="423">
        <f t="shared" si="72"/>
        <v>23.40009154479813</v>
      </c>
      <c r="P145" s="423">
        <f t="shared" si="72"/>
        <v>24.016645351279813</v>
      </c>
      <c r="Q145" s="423">
        <f t="shared" si="72"/>
        <v>24.630218276798743</v>
      </c>
      <c r="R145" s="423">
        <f t="shared" si="72"/>
        <v>25.246313702833238</v>
      </c>
      <c r="S145" s="423">
        <f t="shared" si="72"/>
        <v>25.874205328784413</v>
      </c>
      <c r="T145" s="423">
        <f t="shared" si="72"/>
        <v>26.51621104847441</v>
      </c>
    </row>
    <row r="146" spans="1:20" ht="12.75">
      <c r="A146" s="403"/>
      <c r="B146" s="410"/>
      <c r="C146" s="407"/>
      <c r="D146" s="407"/>
      <c r="E146" s="407"/>
      <c r="F146" s="407"/>
      <c r="G146" s="407"/>
      <c r="H146" s="407"/>
      <c r="I146" s="407"/>
      <c r="J146" s="407"/>
      <c r="K146" s="407"/>
      <c r="L146" s="407"/>
      <c r="M146" s="407"/>
      <c r="N146" s="407"/>
      <c r="O146" s="407"/>
      <c r="P146" s="407"/>
      <c r="Q146" s="407"/>
      <c r="R146" s="407"/>
      <c r="S146" s="407"/>
      <c r="T146" s="407"/>
    </row>
    <row r="147" spans="1:20" ht="12.75">
      <c r="A147" s="418" t="s">
        <v>460</v>
      </c>
      <c r="B147" s="410"/>
      <c r="C147" s="407"/>
      <c r="D147" s="392"/>
      <c r="E147" s="392"/>
      <c r="F147" s="392"/>
      <c r="G147" s="392"/>
      <c r="H147" s="392"/>
      <c r="I147" s="392"/>
      <c r="J147" s="392"/>
      <c r="T147" s="392"/>
    </row>
    <row r="148" spans="1:20" ht="12.75">
      <c r="A148" s="426" t="s">
        <v>639</v>
      </c>
      <c r="B148" s="410"/>
      <c r="C148" s="407"/>
      <c r="D148" s="450">
        <f>Data!C$156</f>
        <v>5.569</v>
      </c>
      <c r="E148" s="407">
        <f>D$155</f>
        <v>6.011</v>
      </c>
      <c r="F148" s="408">
        <f>E$155</f>
        <v>6.741</v>
      </c>
      <c r="G148" s="408">
        <f aca="true" t="shared" si="73" ref="G148:T148">F$155</f>
        <v>7.130999999999999</v>
      </c>
      <c r="H148" s="408">
        <f t="shared" si="73"/>
        <v>7.6579999999999995</v>
      </c>
      <c r="I148" s="408">
        <f t="shared" si="73"/>
        <v>8.196</v>
      </c>
      <c r="J148" s="408">
        <f t="shared" si="73"/>
        <v>8.719999999999999</v>
      </c>
      <c r="K148" s="392">
        <f t="shared" si="73"/>
        <v>9.231999999999998</v>
      </c>
      <c r="L148" s="392">
        <f t="shared" si="73"/>
        <v>9.71902648108875</v>
      </c>
      <c r="M148" s="392">
        <f t="shared" si="73"/>
        <v>10.172777644165397</v>
      </c>
      <c r="N148" s="392">
        <f t="shared" si="73"/>
        <v>10.597195480585434</v>
      </c>
      <c r="O148" s="392">
        <f t="shared" si="73"/>
        <v>10.999710898404114</v>
      </c>
      <c r="P148" s="392">
        <f t="shared" si="73"/>
        <v>11.385620860244812</v>
      </c>
      <c r="Q148" s="392">
        <f t="shared" si="73"/>
        <v>11.761885253035427</v>
      </c>
      <c r="R148" s="392">
        <f t="shared" si="73"/>
        <v>12.130362976589469</v>
      </c>
      <c r="S148" s="392">
        <f t="shared" si="73"/>
        <v>12.496461296619778</v>
      </c>
      <c r="T148" s="392">
        <f t="shared" si="73"/>
        <v>12.869355874446683</v>
      </c>
    </row>
    <row r="149" spans="1:20" ht="12.75">
      <c r="A149" s="424" t="s">
        <v>738</v>
      </c>
      <c r="B149" s="409"/>
      <c r="C149" s="407"/>
      <c r="D149" s="407">
        <f>Data!C$157</f>
        <v>1.176</v>
      </c>
      <c r="E149" s="407">
        <f>Data!D$157</f>
        <v>1.201</v>
      </c>
      <c r="F149" s="408">
        <f>Data!E$157</f>
        <v>1.366</v>
      </c>
      <c r="G149" s="408">
        <f>Data!F$157</f>
        <v>1.478</v>
      </c>
      <c r="H149" s="408">
        <f>Data!G$157</f>
        <v>1.551</v>
      </c>
      <c r="I149" s="408">
        <f>Data!H$157</f>
        <v>1.585</v>
      </c>
      <c r="J149" s="408">
        <f>Data!I$157</f>
        <v>1.616</v>
      </c>
      <c r="K149" s="98">
        <f>J$149*Tracks!W$23/Tracks!V$23</f>
        <v>1.6869674117800564</v>
      </c>
      <c r="L149" s="98">
        <f>K$149*Tracks!X$23/Tracks!W$23</f>
        <v>1.7412661549370159</v>
      </c>
      <c r="M149" s="98">
        <f>L$149*Tracks!Y$23/Tracks!X$23</f>
        <v>1.7950375798323057</v>
      </c>
      <c r="N149" s="98">
        <f>M$149*Tracks!Z$23/Tracks!Y$23</f>
        <v>1.852325148428062</v>
      </c>
      <c r="O149" s="98">
        <f>N$149*Tracks!AA$23/Tracks!Z$23</f>
        <v>1.912995522069724</v>
      </c>
      <c r="P149" s="98">
        <f>O$149*Tracks!AB$23/Tracks!AA$23</f>
        <v>1.978394714439304</v>
      </c>
      <c r="Q149" s="98">
        <f>P$149*Tracks!AC$23/Tracks!AB$23</f>
        <v>2.043772648705807</v>
      </c>
      <c r="R149" s="98">
        <f>Q$149*Tracks!AD$23/Tracks!AC$23</f>
        <v>2.1112731370025575</v>
      </c>
      <c r="S149" s="98">
        <f>R$149*Tracks!AE$23/Tracks!AD$23</f>
        <v>2.1847670602265574</v>
      </c>
      <c r="T149" s="98">
        <f>S$149*Tracks!AF$23/Tracks!AE$23</f>
        <v>2.263289873133829</v>
      </c>
    </row>
    <row r="150" spans="1:20" ht="12.75">
      <c r="A150" s="424" t="s">
        <v>739</v>
      </c>
      <c r="B150" s="409"/>
      <c r="C150" s="407"/>
      <c r="D150" s="407">
        <f>Data!C$158</f>
        <v>0.488</v>
      </c>
      <c r="E150" s="407">
        <f>Data!D$158</f>
        <v>0.487</v>
      </c>
      <c r="F150" s="408">
        <f>Data!E$158</f>
        <v>0.539</v>
      </c>
      <c r="G150" s="408">
        <f>Data!F$158</f>
        <v>0.573</v>
      </c>
      <c r="H150" s="408">
        <f>Data!G$158</f>
        <v>0.601</v>
      </c>
      <c r="I150" s="408">
        <f>Data!H$158</f>
        <v>0.614</v>
      </c>
      <c r="J150" s="408">
        <f>Data!I$158</f>
        <v>0.626</v>
      </c>
      <c r="K150" s="392">
        <f>J$150*K$149/J$149</f>
        <v>0.6534910889692545</v>
      </c>
      <c r="L150" s="392">
        <f aca="true" t="shared" si="74" ref="L150:T150">K$150*L$149/K$149</f>
        <v>0.6745251318010965</v>
      </c>
      <c r="M150" s="392">
        <f t="shared" si="74"/>
        <v>0.6953549040687026</v>
      </c>
      <c r="N150" s="392">
        <f t="shared" si="74"/>
        <v>0.7175467468539398</v>
      </c>
      <c r="O150" s="392">
        <f t="shared" si="74"/>
        <v>0.7410490079304747</v>
      </c>
      <c r="P150" s="392">
        <f t="shared" si="74"/>
        <v>0.7663831010142352</v>
      </c>
      <c r="Q150" s="392">
        <f t="shared" si="74"/>
        <v>0.7917089592140067</v>
      </c>
      <c r="R150" s="392">
        <f t="shared" si="74"/>
        <v>0.8178570444081688</v>
      </c>
      <c r="S150" s="392">
        <f t="shared" si="74"/>
        <v>0.8463268438748915</v>
      </c>
      <c r="T150" s="392">
        <f t="shared" si="74"/>
        <v>0.8767447157065451</v>
      </c>
    </row>
    <row r="151" spans="1:20" ht="12.75">
      <c r="A151" s="424" t="s">
        <v>740</v>
      </c>
      <c r="B151" s="409"/>
      <c r="C151" s="407"/>
      <c r="D151" s="407">
        <f>Data!C$159</f>
        <v>0.555</v>
      </c>
      <c r="E151" s="407">
        <f>Data!D$159</f>
        <v>0.629</v>
      </c>
      <c r="F151" s="408">
        <f>Data!E$159</f>
        <v>0.717</v>
      </c>
      <c r="G151" s="408">
        <f>Data!F$159</f>
        <v>0.794</v>
      </c>
      <c r="H151" s="408">
        <f>Data!G$159</f>
        <v>0.869</v>
      </c>
      <c r="I151" s="408">
        <f>Data!H$159</f>
        <v>0.944</v>
      </c>
      <c r="J151" s="408">
        <f>Data!I$159</f>
        <v>1.013</v>
      </c>
      <c r="K151" s="98">
        <f>J$151*Tracks!W$25/Tracks!V$25</f>
        <v>1.0928774543932538</v>
      </c>
      <c r="L151" s="98">
        <f>K$151*Tracks!X$25/Tracks!W$25</f>
        <v>1.1746102392546272</v>
      </c>
      <c r="M151" s="98">
        <f>L$151*Tracks!Y$25/Tracks!X$25</f>
        <v>1.2522905351535691</v>
      </c>
      <c r="N151" s="98">
        <f>M$151*Tracks!Z$25/Tracks!Y$25</f>
        <v>1.3264456796780257</v>
      </c>
      <c r="O151" s="98">
        <f>N$151*Tracks!AA$25/Tracks!Z$25</f>
        <v>1.3989817984823674</v>
      </c>
      <c r="P151" s="98">
        <f>O$151*Tracks!AB$25/Tracks!AA$25</f>
        <v>1.4695226578247778</v>
      </c>
      <c r="Q151" s="98">
        <f>P$151*Tracks!AC$25/Tracks!AB$25</f>
        <v>1.5383049166140677</v>
      </c>
      <c r="R151" s="98">
        <f>Q$151*Tracks!AD$25/Tracks!AC$25</f>
        <v>1.6039125112077472</v>
      </c>
      <c r="S151" s="98">
        <f>R$151*Tracks!AE$25/Tracks!AD$25</f>
        <v>1.6664012740984486</v>
      </c>
      <c r="T151" s="98">
        <f>S$151*Tracks!AF$25/Tracks!AE$25</f>
        <v>1.7316433065130277</v>
      </c>
    </row>
    <row r="152" spans="1:20" ht="12.75">
      <c r="A152" s="424" t="s">
        <v>741</v>
      </c>
      <c r="B152" s="409"/>
      <c r="C152" s="407"/>
      <c r="D152" s="407">
        <f>Data!C$160</f>
        <v>0.36</v>
      </c>
      <c r="E152" s="407">
        <f>Data!D$160</f>
        <v>0.407</v>
      </c>
      <c r="F152" s="408">
        <f>Data!E$160</f>
        <v>0.48</v>
      </c>
      <c r="G152" s="408">
        <f>Data!F$160</f>
        <v>0.516</v>
      </c>
      <c r="H152" s="408">
        <f>Data!G$160</f>
        <v>0.557</v>
      </c>
      <c r="I152" s="408">
        <f>Data!H$160</f>
        <v>0.597</v>
      </c>
      <c r="J152" s="408">
        <f>Data!I$160</f>
        <v>0.635</v>
      </c>
      <c r="K152" s="392">
        <f>J$152*K$149/J$149</f>
        <v>0.6628863282675345</v>
      </c>
      <c r="L152" s="392">
        <f aca="true" t="shared" si="75" ref="L152:T152">K$152*L$149/K$149</f>
        <v>0.6842227774659684</v>
      </c>
      <c r="M152" s="392">
        <f t="shared" si="75"/>
        <v>0.705352019302917</v>
      </c>
      <c r="N152" s="392">
        <f t="shared" si="75"/>
        <v>0.7278629141409773</v>
      </c>
      <c r="O152" s="392">
        <f t="shared" si="75"/>
        <v>0.7517030671499223</v>
      </c>
      <c r="P152" s="392">
        <f t="shared" si="75"/>
        <v>0.7774013884090084</v>
      </c>
      <c r="Q152" s="392">
        <f t="shared" si="75"/>
        <v>0.8030913563912048</v>
      </c>
      <c r="R152" s="392">
        <f t="shared" si="75"/>
        <v>0.829615372522663</v>
      </c>
      <c r="S152" s="392">
        <f t="shared" si="75"/>
        <v>0.8584944822053611</v>
      </c>
      <c r="T152" s="392">
        <f t="shared" si="75"/>
        <v>0.8893496716831566</v>
      </c>
    </row>
    <row r="153" spans="1:20" ht="12.75">
      <c r="A153" s="424" t="s">
        <v>742</v>
      </c>
      <c r="B153" s="409"/>
      <c r="C153" s="407"/>
      <c r="D153" s="407">
        <f>Data!C$161</f>
        <v>0.151</v>
      </c>
      <c r="E153" s="407">
        <f>Data!D$161</f>
        <v>-0.231</v>
      </c>
      <c r="F153" s="408">
        <f>Data!E$161</f>
        <v>0.21</v>
      </c>
      <c r="G153" s="408">
        <f>Data!F$161</f>
        <v>0.11</v>
      </c>
      <c r="H153" s="408">
        <f>Data!G$161</f>
        <v>0.11</v>
      </c>
      <c r="I153" s="408">
        <f>Data!H$161</f>
        <v>0.11</v>
      </c>
      <c r="J153" s="408">
        <f>Data!I$161</f>
        <v>0.11</v>
      </c>
      <c r="K153" s="392">
        <f>J$153*K$148/J$148</f>
        <v>0.11645871559633027</v>
      </c>
      <c r="L153" s="392">
        <f aca="true" t="shared" si="76" ref="L153:T153">K$153*L$148/K$148</f>
        <v>0.12260239827061499</v>
      </c>
      <c r="M153" s="392">
        <f t="shared" si="76"/>
        <v>0.12832632349291212</v>
      </c>
      <c r="N153" s="392">
        <f t="shared" si="76"/>
        <v>0.13368021821839424</v>
      </c>
      <c r="O153" s="392">
        <f t="shared" si="76"/>
        <v>0.13875782096610695</v>
      </c>
      <c r="P153" s="392">
        <f t="shared" si="76"/>
        <v>0.14362595121868454</v>
      </c>
      <c r="Q153" s="392">
        <f t="shared" si="76"/>
        <v>0.14837240571489643</v>
      </c>
      <c r="R153" s="392">
        <f t="shared" si="76"/>
        <v>0.1530206338789956</v>
      </c>
      <c r="S153" s="392">
        <f t="shared" si="76"/>
        <v>0.1576388466316715</v>
      </c>
      <c r="T153" s="392">
        <f t="shared" si="76"/>
        <v>0.16234279199416685</v>
      </c>
    </row>
    <row r="154" spans="1:20" ht="12.75">
      <c r="A154" s="424" t="s">
        <v>743</v>
      </c>
      <c r="B154" s="409"/>
      <c r="C154" s="407"/>
      <c r="D154" s="419">
        <f>Data!C$162</f>
        <v>0.1</v>
      </c>
      <c r="E154" s="419">
        <f>Data!D$162</f>
        <v>0.007</v>
      </c>
      <c r="F154" s="420">
        <f>Data!E$162</f>
        <v>0.01</v>
      </c>
      <c r="G154" s="420">
        <f>Data!F$162</f>
        <v>0.01</v>
      </c>
      <c r="H154" s="420">
        <f>Data!G$162</f>
        <v>0.01</v>
      </c>
      <c r="I154" s="420">
        <f>Data!H$162</f>
        <v>0.01</v>
      </c>
      <c r="J154" s="420">
        <f>Data!I$162</f>
        <v>0.01</v>
      </c>
      <c r="K154" s="421">
        <f aca="true" t="shared" si="77" ref="K154:T154">IF(K$2="Proj Yr1",0,J$154)</f>
        <v>0</v>
      </c>
      <c r="L154" s="421">
        <f t="shared" si="77"/>
        <v>0</v>
      </c>
      <c r="M154" s="421">
        <f t="shared" si="77"/>
        <v>0</v>
      </c>
      <c r="N154" s="421">
        <f t="shared" si="77"/>
        <v>0</v>
      </c>
      <c r="O154" s="421">
        <f t="shared" si="77"/>
        <v>0</v>
      </c>
      <c r="P154" s="421">
        <f t="shared" si="77"/>
        <v>0</v>
      </c>
      <c r="Q154" s="421">
        <f t="shared" si="77"/>
        <v>0</v>
      </c>
      <c r="R154" s="421">
        <f t="shared" si="77"/>
        <v>0</v>
      </c>
      <c r="S154" s="421">
        <f t="shared" si="77"/>
        <v>0</v>
      </c>
      <c r="T154" s="421">
        <f t="shared" si="77"/>
        <v>0</v>
      </c>
    </row>
    <row r="155" spans="1:20" ht="12.75">
      <c r="A155" s="403" t="s">
        <v>725</v>
      </c>
      <c r="B155" s="410"/>
      <c r="C155" s="407"/>
      <c r="D155" s="417">
        <f>SUM(D$148,D$149,D$152,D$154)-SUM(D$150,D$151,D$153)</f>
        <v>6.011</v>
      </c>
      <c r="E155" s="417">
        <f>SUM(E$148,E$149,E$152,E$154)-SUM(E$150,E$151,E$153)</f>
        <v>6.741</v>
      </c>
      <c r="F155" s="422">
        <f>SUM(F$148,F$149,F$152,F$154)-SUM(F$150,F$151,F$153)</f>
        <v>7.130999999999999</v>
      </c>
      <c r="G155" s="422">
        <f aca="true" t="shared" si="78" ref="G155:T155">SUM(G$148,G$149,G$152,G$154)-SUM(G$150,G$151,G$153)</f>
        <v>7.6579999999999995</v>
      </c>
      <c r="H155" s="422">
        <f t="shared" si="78"/>
        <v>8.196</v>
      </c>
      <c r="I155" s="422">
        <f t="shared" si="78"/>
        <v>8.719999999999999</v>
      </c>
      <c r="J155" s="422">
        <f t="shared" si="78"/>
        <v>9.231999999999998</v>
      </c>
      <c r="K155" s="423">
        <f t="shared" si="78"/>
        <v>9.71902648108875</v>
      </c>
      <c r="L155" s="423">
        <f t="shared" si="78"/>
        <v>10.172777644165397</v>
      </c>
      <c r="M155" s="423">
        <f t="shared" si="78"/>
        <v>10.597195480585434</v>
      </c>
      <c r="N155" s="423">
        <f t="shared" si="78"/>
        <v>10.999710898404114</v>
      </c>
      <c r="O155" s="423">
        <f t="shared" si="78"/>
        <v>11.385620860244812</v>
      </c>
      <c r="P155" s="423">
        <f t="shared" si="78"/>
        <v>11.761885253035427</v>
      </c>
      <c r="Q155" s="423">
        <f t="shared" si="78"/>
        <v>12.130362976589469</v>
      </c>
      <c r="R155" s="423">
        <f t="shared" si="78"/>
        <v>12.496461296619778</v>
      </c>
      <c r="S155" s="423">
        <f t="shared" si="78"/>
        <v>12.869355874446683</v>
      </c>
      <c r="T155" s="423">
        <f t="shared" si="78"/>
        <v>13.25126460504993</v>
      </c>
    </row>
    <row r="156" spans="1:20" ht="12.75">
      <c r="A156" s="403" t="s">
        <v>800</v>
      </c>
      <c r="B156" s="409"/>
      <c r="C156" s="407"/>
      <c r="D156" s="417">
        <f>Data!C$155</f>
        <v>9.413</v>
      </c>
      <c r="E156" s="417">
        <f>Data!D$155</f>
        <v>9.573</v>
      </c>
      <c r="F156" s="422">
        <f>Data!E$155</f>
        <v>10.32</v>
      </c>
      <c r="G156" s="422">
        <f>Data!F$155</f>
        <v>11.11</v>
      </c>
      <c r="H156" s="422">
        <f>Data!G$155</f>
        <v>11.907</v>
      </c>
      <c r="I156" s="422">
        <f>Data!H$155</f>
        <v>12.673</v>
      </c>
      <c r="J156" s="422">
        <f>Data!I$155</f>
        <v>13.41</v>
      </c>
      <c r="K156" s="423">
        <f>J$156*Tracks!W$27/Tracks!V$27</f>
        <v>14.195563743279765</v>
      </c>
      <c r="L156" s="423">
        <f>K$156*Tracks!X$27/Tracks!W$27</f>
        <v>14.96943722853194</v>
      </c>
      <c r="M156" s="423">
        <f>L$156*Tracks!Y$27/Tracks!X$27</f>
        <v>15.736854452581738</v>
      </c>
      <c r="N156" s="423">
        <f>M$156*Tracks!Z$27/Tracks!Y$27</f>
        <v>16.503140496260098</v>
      </c>
      <c r="O156" s="423">
        <f>N$156*Tracks!AA$27/Tracks!Z$27</f>
        <v>17.272784216082112</v>
      </c>
      <c r="P156" s="423">
        <f>O$156*Tracks!AB$27/Tracks!AA$27</f>
        <v>18.050825905126175</v>
      </c>
      <c r="Q156" s="423">
        <f>P$156*Tracks!AC$27/Tracks!AB$27</f>
        <v>18.837681672415403</v>
      </c>
      <c r="R156" s="423">
        <f>Q$156*Tracks!AD$27/Tracks!AC$27</f>
        <v>19.638912501837723</v>
      </c>
      <c r="S156" s="423">
        <f>R$156*Tracks!AE$27/Tracks!AD$27</f>
        <v>20.462902658748238</v>
      </c>
      <c r="T156" s="423">
        <f>S$156*Tracks!AF$27/Tracks!AE$27</f>
        <v>21.31267997302081</v>
      </c>
    </row>
    <row r="157" spans="1:21" ht="12.75">
      <c r="A157" s="445"/>
      <c r="B157" s="412"/>
      <c r="C157" s="407"/>
      <c r="D157" s="407"/>
      <c r="E157" s="407"/>
      <c r="F157" s="407"/>
      <c r="G157" s="407"/>
      <c r="H157" s="407"/>
      <c r="I157" s="407"/>
      <c r="J157" s="407"/>
      <c r="K157" s="407"/>
      <c r="L157" s="407"/>
      <c r="M157" s="407"/>
      <c r="N157" s="407"/>
      <c r="O157" s="407"/>
      <c r="P157" s="407"/>
      <c r="Q157" s="407"/>
      <c r="R157" s="407"/>
      <c r="S157" s="407"/>
      <c r="T157" s="407"/>
      <c r="U157" s="407"/>
    </row>
    <row r="158" spans="1:20" ht="12.75">
      <c r="A158" s="418" t="s">
        <v>759</v>
      </c>
      <c r="B158" s="446"/>
      <c r="C158" s="407"/>
      <c r="D158" s="407"/>
      <c r="E158" s="407"/>
      <c r="F158" s="410"/>
      <c r="G158" s="410"/>
      <c r="H158" s="410"/>
      <c r="I158" s="410"/>
      <c r="J158" s="410"/>
      <c r="K158" s="410"/>
      <c r="L158" s="410"/>
      <c r="M158" s="410"/>
      <c r="N158" s="410"/>
      <c r="O158" s="410"/>
      <c r="P158" s="410"/>
      <c r="Q158" s="410"/>
      <c r="R158" s="410"/>
      <c r="S158" s="410"/>
      <c r="T158" s="410"/>
    </row>
    <row r="159" spans="1:20" ht="12.75">
      <c r="A159" s="403" t="s">
        <v>207</v>
      </c>
      <c r="B159" s="395"/>
      <c r="C159" s="407"/>
      <c r="D159" s="417">
        <f>Data!C$109</f>
        <v>26.213</v>
      </c>
      <c r="E159" s="417">
        <f>Data!D$109</f>
        <v>28.637</v>
      </c>
      <c r="F159" s="422">
        <f ca="1">Data!E$109+IF(OFFSET(Scenarios!$A$62,0,$C$1)="Yes",F$164,0)</f>
        <v>29.094</v>
      </c>
      <c r="G159" s="422">
        <f ca="1">Data!F$109+IF(OFFSET(Scenarios!$A$62,0,$C$1)="Yes",G$164,0)</f>
        <v>29.74</v>
      </c>
      <c r="H159" s="422">
        <f ca="1">Data!G$109+IF(OFFSET(Scenarios!$A$62,0,$C$1)="Yes",H$164,0)</f>
        <v>29.913</v>
      </c>
      <c r="I159" s="422">
        <f ca="1">Data!H$109+IF(OFFSET(Scenarios!$A$62,0,$C$1)="Yes",I$164,0)</f>
        <v>29.765</v>
      </c>
      <c r="J159" s="422">
        <f ca="1">Data!I$109+IF(OFFSET(Scenarios!$A$62,0,$C$1)="Yes",J$164,0)</f>
        <v>29.562</v>
      </c>
      <c r="K159" s="423">
        <f ca="1">J$159+IF(OFFSET(Scenarios!$A$62,0,$C$1)="Yes",(K$164-J$164),0)</f>
        <v>29.562</v>
      </c>
      <c r="L159" s="423">
        <f ca="1">K$159+IF(OFFSET(Scenarios!$A$62,0,$C$1)="Yes",(L$164-K$164),0)</f>
        <v>29.562</v>
      </c>
      <c r="M159" s="423">
        <f ca="1">L$159+IF(OFFSET(Scenarios!$A$62,0,$C$1)="Yes",(M$164-L$164),0)</f>
        <v>29.562</v>
      </c>
      <c r="N159" s="423">
        <f ca="1">M$159+IF(OFFSET(Scenarios!$A$62,0,$C$1)="Yes",(N$164-M$164),0)</f>
        <v>29.562</v>
      </c>
      <c r="O159" s="423">
        <f ca="1">N$159+IF(OFFSET(Scenarios!$A$62,0,$C$1)="Yes",(O$164-N$164),0)</f>
        <v>29.562</v>
      </c>
      <c r="P159" s="423">
        <f ca="1">O$159+IF(OFFSET(Scenarios!$A$62,0,$C$1)="Yes",(P$164-O$164),0)</f>
        <v>29.562</v>
      </c>
      <c r="Q159" s="423">
        <f ca="1">P$159+IF(OFFSET(Scenarios!$A$62,0,$C$1)="Yes",(Q$164-P$164),0)</f>
        <v>29.562</v>
      </c>
      <c r="R159" s="423">
        <f ca="1">Q$159+IF(OFFSET(Scenarios!$A$62,0,$C$1)="Yes",(R$164-Q$164),0)</f>
        <v>29.562</v>
      </c>
      <c r="S159" s="423">
        <f ca="1">R$159+IF(OFFSET(Scenarios!$A$62,0,$C$1)="Yes",(S$164-R$164),0)</f>
        <v>29.562</v>
      </c>
      <c r="T159" s="423">
        <f ca="1">S$159+IF(OFFSET(Scenarios!$A$62,0,$C$1)="Yes",(T$164-S$164),0)</f>
        <v>29.562</v>
      </c>
    </row>
    <row r="160" spans="1:20" ht="12.75">
      <c r="A160" s="227" t="s">
        <v>461</v>
      </c>
      <c r="B160" s="407"/>
      <c r="C160" s="407"/>
      <c r="D160" s="419">
        <f>D$161-D$159</f>
        <v>69.38499999999999</v>
      </c>
      <c r="E160" s="419">
        <f aca="true" t="shared" si="79" ref="E160:J160">E$161-E$159</f>
        <v>74.692</v>
      </c>
      <c r="F160" s="420">
        <f t="shared" si="79"/>
        <v>77.404</v>
      </c>
      <c r="G160" s="420">
        <f t="shared" si="79"/>
        <v>80.51100000000001</v>
      </c>
      <c r="H160" s="420">
        <f t="shared" si="79"/>
        <v>83.604</v>
      </c>
      <c r="I160" s="420">
        <f t="shared" si="79"/>
        <v>85.999</v>
      </c>
      <c r="J160" s="420">
        <f t="shared" si="79"/>
        <v>88.924</v>
      </c>
      <c r="K160" s="421">
        <f aca="true" t="shared" si="80" ref="K160:T160">SUM(J$160,(K$26-K$31)-(J$26-J$31),(K$27-K$32)-(J$27-J$32),(K$15-K$22),-SUM(K$114-K$113,K$116-K$115,K$126-K$123,K$145-K$144,K$171-K$170)+SUM(J$114-J$113,J$116-J$115,J$126-J$123,J$145-J$144,J$171-J$170))</f>
        <v>91.8233674792915</v>
      </c>
      <c r="L160" s="421">
        <f t="shared" si="80"/>
        <v>95.25057142058796</v>
      </c>
      <c r="M160" s="421">
        <f t="shared" si="80"/>
        <v>99.03244031804293</v>
      </c>
      <c r="N160" s="421">
        <f t="shared" si="80"/>
        <v>102.6986442249457</v>
      </c>
      <c r="O160" s="421">
        <f t="shared" si="80"/>
        <v>106.58833039361066</v>
      </c>
      <c r="P160" s="421">
        <f t="shared" si="80"/>
        <v>110.76790676151712</v>
      </c>
      <c r="Q160" s="421">
        <f t="shared" si="80"/>
        <v>115.24951617688852</v>
      </c>
      <c r="R160" s="421">
        <f t="shared" si="80"/>
        <v>119.8594543739323</v>
      </c>
      <c r="S160" s="421">
        <f t="shared" si="80"/>
        <v>124.82244198191177</v>
      </c>
      <c r="T160" s="421">
        <f t="shared" si="80"/>
        <v>130.1278841140084</v>
      </c>
    </row>
    <row r="161" spans="1:20" ht="12.75">
      <c r="A161" s="403" t="s">
        <v>208</v>
      </c>
      <c r="B161" s="395"/>
      <c r="C161" s="407"/>
      <c r="D161" s="417">
        <f>Data!C$62</f>
        <v>95.598</v>
      </c>
      <c r="E161" s="417">
        <f>Data!D$62</f>
        <v>103.329</v>
      </c>
      <c r="F161" s="422">
        <f ca="1">Data!E$62+IF(OFFSET(Scenarios!$A$62,0,$C$1)="Yes",F$164,0)</f>
        <v>106.498</v>
      </c>
      <c r="G161" s="422">
        <f ca="1">Data!F$62+IF(OFFSET(Scenarios!$A$62,0,$C$1)="Yes",G$164,0)</f>
        <v>110.251</v>
      </c>
      <c r="H161" s="422">
        <f ca="1">Data!G$62+IF(OFFSET(Scenarios!$A$62,0,$C$1)="Yes",H$164,0)</f>
        <v>113.517</v>
      </c>
      <c r="I161" s="422">
        <f ca="1">Data!H$62+IF(OFFSET(Scenarios!$A$62,0,$C$1)="Yes",I$164,0)</f>
        <v>115.764</v>
      </c>
      <c r="J161" s="422">
        <f ca="1">Data!I$62+IF(OFFSET(Scenarios!$A$62,0,$C$1)="Yes",J$164,0)</f>
        <v>118.486</v>
      </c>
      <c r="K161" s="423">
        <f aca="true" t="shared" si="81" ref="K161:T161">SUM(K$159,K$160)</f>
        <v>121.3853674792915</v>
      </c>
      <c r="L161" s="423">
        <f t="shared" si="81"/>
        <v>124.81257142058796</v>
      </c>
      <c r="M161" s="423">
        <f t="shared" si="81"/>
        <v>128.59444031804293</v>
      </c>
      <c r="N161" s="423">
        <f t="shared" si="81"/>
        <v>132.2606442249457</v>
      </c>
      <c r="O161" s="423">
        <f t="shared" si="81"/>
        <v>136.15033039361066</v>
      </c>
      <c r="P161" s="423">
        <f t="shared" si="81"/>
        <v>140.32990676151712</v>
      </c>
      <c r="Q161" s="423">
        <f t="shared" si="81"/>
        <v>144.81151617688852</v>
      </c>
      <c r="R161" s="423">
        <f t="shared" si="81"/>
        <v>149.4214543739323</v>
      </c>
      <c r="S161" s="423">
        <f t="shared" si="81"/>
        <v>154.38444198191178</v>
      </c>
      <c r="T161" s="423">
        <f t="shared" si="81"/>
        <v>159.6898841140084</v>
      </c>
    </row>
    <row r="162" spans="1:20" ht="12.75">
      <c r="A162" s="403"/>
      <c r="B162" s="446"/>
      <c r="C162" s="407"/>
      <c r="D162" s="417"/>
      <c r="E162" s="417"/>
      <c r="F162" s="417"/>
      <c r="G162" s="417"/>
      <c r="H162" s="417"/>
      <c r="I162" s="417"/>
      <c r="J162" s="417"/>
      <c r="K162" s="417"/>
      <c r="L162" s="417"/>
      <c r="M162" s="417"/>
      <c r="N162" s="417"/>
      <c r="O162" s="417"/>
      <c r="P162" s="417"/>
      <c r="Q162" s="417"/>
      <c r="R162" s="417"/>
      <c r="S162" s="417"/>
      <c r="T162" s="417"/>
    </row>
    <row r="163" spans="1:20" ht="12.75">
      <c r="A163" s="418" t="s">
        <v>760</v>
      </c>
      <c r="B163" s="425"/>
      <c r="C163" s="407"/>
      <c r="D163" s="417">
        <f>D$164-C$164</f>
        <v>0</v>
      </c>
      <c r="E163" s="417">
        <f>E$164-D$164</f>
        <v>0</v>
      </c>
      <c r="F163" s="422">
        <f ca="1">IF(OFFSET(Scenarios!$A$62,0,$C$1)="Yes",0,F$164-E$164)</f>
        <v>0</v>
      </c>
      <c r="G163" s="422">
        <f ca="1">IF(OFFSET(Scenarios!$A$62,0,$C$1)="Yes",0,G$164-F$164)</f>
        <v>0.072</v>
      </c>
      <c r="H163" s="422">
        <f ca="1">IF(OFFSET(Scenarios!$A$62,0,$C$1)="Yes",0,H$164-G$164)</f>
        <v>0.7020000000000001</v>
      </c>
      <c r="I163" s="422">
        <f ca="1">IF(OFFSET(Scenarios!$A$62,0,$C$1)="Yes",0,I$164-H$164)</f>
        <v>1.152</v>
      </c>
      <c r="J163" s="422">
        <f ca="1">IF(OFFSET(Scenarios!$A$62,0,$C$1)="Yes",0,J$164-I$164)</f>
        <v>1.45</v>
      </c>
      <c r="K163" s="423">
        <f ca="1">IF(OFFSET(Scenarios!$A$62,0,$C$1)="Yes",0,IF(OFFSET(Scenarios!$A$34,0,$C$1)="Yes",Tracks!B$122,IF(K$2="Proj Yr1",OFFSET(Scenarios!$A$29,0,$C$1),J$163*(1+IF(OFFSET(Scenarios!$A$33,0,$C$1)="GDP",K$204,IF(OFFSET(Scenarios!$A$33,0,$C$1)="CPI",K$206,0))))))</f>
        <v>1.65</v>
      </c>
      <c r="L163" s="423">
        <f ca="1">IF(OFFSET(Scenarios!$A$62,0,$C$1)="Yes",0,IF(OFFSET(Scenarios!$A$34,0,$C$1)="Yes",Tracks!C$122,IF(L$2="Proj Yr1",OFFSET(Scenarios!$A$29,0,$C$1),K$163*(1+IF(OFFSET(Scenarios!$A$33,0,$C$1)="GDP",L$204,IF(OFFSET(Scenarios!$A$33,0,$C$1)="CPI",L$206,0))))))</f>
        <v>1.65</v>
      </c>
      <c r="M163" s="423">
        <f ca="1">IF(OFFSET(Scenarios!$A$62,0,$C$1)="Yes",0,IF(OFFSET(Scenarios!$A$34,0,$C$1)="Yes",Tracks!D$122,IF(M$2="Proj Yr1",OFFSET(Scenarios!$A$29,0,$C$1),L$163*(1+IF(OFFSET(Scenarios!$A$33,0,$C$1)="GDP",M$204,IF(OFFSET(Scenarios!$A$33,0,$C$1)="CPI",M$206,0))))))</f>
        <v>1.65</v>
      </c>
      <c r="N163" s="423">
        <f ca="1">IF(OFFSET(Scenarios!$A$62,0,$C$1)="Yes",0,IF(OFFSET(Scenarios!$A$34,0,$C$1)="Yes",Tracks!E$122,IF(N$2="Proj Yr1",OFFSET(Scenarios!$A$29,0,$C$1),M$163*(1+IF(OFFSET(Scenarios!$A$33,0,$C$1)="GDP",N$204,IF(OFFSET(Scenarios!$A$33,0,$C$1)="CPI",N$206,0))))))</f>
        <v>0.9550871999999999</v>
      </c>
      <c r="O163" s="423">
        <f ca="1">IF(OFFSET(Scenarios!$A$62,0,$C$1)="Yes",0,IF(OFFSET(Scenarios!$A$34,0,$C$1)="Yes",Tracks!F$122,IF(O$2="Proj Yr1",OFFSET(Scenarios!$A$29,0,$C$1),N$163*(1+IF(OFFSET(Scenarios!$A$33,0,$C$1)="GDP",O$204,IF(OFFSET(Scenarios!$A$33,0,$C$1)="CPI",O$206,0))))))</f>
        <v>0.974188944</v>
      </c>
      <c r="P163" s="423">
        <f ca="1">IF(OFFSET(Scenarios!$A$62,0,$C$1)="Yes",0,IF(OFFSET(Scenarios!$A$34,0,$C$1)="Yes",Tracks!G$122,IF(P$2="Proj Yr1",OFFSET(Scenarios!$A$29,0,$C$1),O$163*(1+IF(OFFSET(Scenarios!$A$33,0,$C$1)="GDP",P$204,IF(OFFSET(Scenarios!$A$33,0,$C$1)="CPI",P$206,0))))))</f>
        <v>0.9936727228800001</v>
      </c>
      <c r="Q163" s="423">
        <f ca="1">IF(OFFSET(Scenarios!$A$62,0,$C$1)="Yes",0,IF(OFFSET(Scenarios!$A$34,0,$C$1)="Yes",Tracks!H$122,IF(Q$2="Proj Yr1",OFFSET(Scenarios!$A$29,0,$C$1),P$163*(1+IF(OFFSET(Scenarios!$A$33,0,$C$1)="GDP",Q$204,IF(OFFSET(Scenarios!$A$33,0,$C$1)="CPI",Q$206,0))))))</f>
        <v>1.0135461773376</v>
      </c>
      <c r="R163" s="423">
        <f ca="1">IF(OFFSET(Scenarios!$A$62,0,$C$1)="Yes",0,IF(OFFSET(Scenarios!$A$34,0,$C$1)="Yes",Tracks!I$122,IF(R$2="Proj Yr1",OFFSET(Scenarios!$A$29,0,$C$1),Q$163*(1+IF(OFFSET(Scenarios!$A$33,0,$C$1)="GDP",R$204,IF(OFFSET(Scenarios!$A$33,0,$C$1)="CPI",R$206,0))))))</f>
        <v>1.033817100884352</v>
      </c>
      <c r="S163" s="423">
        <f ca="1">IF(OFFSET(Scenarios!$A$62,0,$C$1)="Yes",0,IF(OFFSET(Scenarios!$A$34,0,$C$1)="Yes",Tracks!J$122,IF(S$2="Proj Yr1",OFFSET(Scenarios!$A$29,0,$C$1),R$163*(1+IF(OFFSET(Scenarios!$A$33,0,$C$1)="GDP",S$204,IF(OFFSET(Scenarios!$A$33,0,$C$1)="CPI",S$206,0))))))</f>
        <v>1.054493442902039</v>
      </c>
      <c r="T163" s="423">
        <f ca="1">IF(OFFSET(Scenarios!$A$62,0,$C$1)="Yes",0,IF(OFFSET(Scenarios!$A$34,0,$C$1)="Yes",Tracks!K$122,IF(T$2="Proj Yr1",OFFSET(Scenarios!$A$29,0,$C$1),S$163*(1+IF(OFFSET(Scenarios!$A$33,0,$C$1)="GDP",T$204,IF(OFFSET(Scenarios!$A$33,0,$C$1)="CPI",T$206,0))))))</f>
        <v>1.0755833117600797</v>
      </c>
    </row>
    <row r="164" spans="1:20" ht="12.75">
      <c r="A164" s="323" t="s">
        <v>331</v>
      </c>
      <c r="B164" s="395"/>
      <c r="C164" s="407"/>
      <c r="D164" s="407">
        <f>Data!C$65</f>
        <v>0</v>
      </c>
      <c r="E164" s="407">
        <f>Data!D$65</f>
        <v>0</v>
      </c>
      <c r="F164" s="408">
        <f>Data!E$65</f>
        <v>0</v>
      </c>
      <c r="G164" s="408">
        <f>Data!F$65</f>
        <v>0.072</v>
      </c>
      <c r="H164" s="408">
        <f>Data!G$65</f>
        <v>0.774</v>
      </c>
      <c r="I164" s="408">
        <f>Data!H$65</f>
        <v>1.926</v>
      </c>
      <c r="J164" s="408">
        <f>Data!I$65</f>
        <v>3.376</v>
      </c>
      <c r="K164" s="435">
        <f ca="1">J$164+IF(OFFSET(Scenarios!$A$34,0,$C$1)="Yes",Tracks!B$122,IF(K$2="Proj Yr1",OFFSET(Scenarios!$A$29,0,$C$1),(J$164-I$164)*(1+IF(OFFSET(Scenarios!$A$33,0,$C$1)="GDP",K$204,IF(OFFSET(Scenarios!$A$33,0,$C$1)="CPI",K$206,0)))))</f>
        <v>5.026</v>
      </c>
      <c r="L164" s="435">
        <f ca="1">K$164+IF(OFFSET(Scenarios!$A$34,0,$C$1)="Yes",Tracks!C$122,IF(L$2="Proj Yr1",OFFSET(Scenarios!$A$29,0,$C$1),(K$164-J$164)*(1+IF(OFFSET(Scenarios!$A$33,0,$C$1)="GDP",L$204,IF(OFFSET(Scenarios!$A$33,0,$C$1)="CPI",L$206,0)))))</f>
        <v>6.676</v>
      </c>
      <c r="M164" s="435">
        <f ca="1">L$164+IF(OFFSET(Scenarios!$A$34,0,$C$1)="Yes",Tracks!D$122,IF(M$2="Proj Yr1",OFFSET(Scenarios!$A$29,0,$C$1),(L$164-K$164)*(1+IF(OFFSET(Scenarios!$A$33,0,$C$1)="GDP",M$204,IF(OFFSET(Scenarios!$A$33,0,$C$1)="CPI",M$206,0)))))</f>
        <v>8.326</v>
      </c>
      <c r="N164" s="435">
        <f ca="1">M$164+IF(OFFSET(Scenarios!$A$34,0,$C$1)="Yes",Tracks!E$122,IF(N$2="Proj Yr1",OFFSET(Scenarios!$A$29,0,$C$1),(M$164-L$164)*(1+IF(OFFSET(Scenarios!$A$33,0,$C$1)="GDP",N$204,IF(OFFSET(Scenarios!$A$33,0,$C$1)="CPI",N$206,0)))))</f>
        <v>9.2810872</v>
      </c>
      <c r="O164" s="435">
        <f ca="1">N$164+IF(OFFSET(Scenarios!$A$34,0,$C$1)="Yes",Tracks!F$122,IF(O$2="Proj Yr1",OFFSET(Scenarios!$A$29,0,$C$1),(N$164-M$164)*(1+IF(OFFSET(Scenarios!$A$33,0,$C$1)="GDP",O$204,IF(OFFSET(Scenarios!$A$33,0,$C$1)="CPI",O$206,0)))))</f>
        <v>10.255276144</v>
      </c>
      <c r="P164" s="435">
        <f ca="1">O$164+IF(OFFSET(Scenarios!$A$34,0,$C$1)="Yes",Tracks!G$122,IF(P$2="Proj Yr1",OFFSET(Scenarios!$A$29,0,$C$1),(O$164-N$164)*(1+IF(OFFSET(Scenarios!$A$33,0,$C$1)="GDP",P$204,IF(OFFSET(Scenarios!$A$33,0,$C$1)="CPI",P$206,0)))))</f>
        <v>11.24894886688</v>
      </c>
      <c r="Q164" s="435">
        <f ca="1">P$164+IF(OFFSET(Scenarios!$A$34,0,$C$1)="Yes",Tracks!H$122,IF(Q$2="Proj Yr1",OFFSET(Scenarios!$A$29,0,$C$1),(P$164-O$164)*(1+IF(OFFSET(Scenarios!$A$33,0,$C$1)="GDP",Q$204,IF(OFFSET(Scenarios!$A$33,0,$C$1)="CPI",Q$206,0)))))</f>
        <v>12.2624950442176</v>
      </c>
      <c r="R164" s="435">
        <f ca="1">Q$164+IF(OFFSET(Scenarios!$A$34,0,$C$1)="Yes",Tracks!I$122,IF(R$2="Proj Yr1",OFFSET(Scenarios!$A$29,0,$C$1),(Q$164-P$164)*(1+IF(OFFSET(Scenarios!$A$33,0,$C$1)="GDP",R$204,IF(OFFSET(Scenarios!$A$33,0,$C$1)="CPI",R$206,0)))))</f>
        <v>13.296312145101952</v>
      </c>
      <c r="S164" s="435">
        <f ca="1">R$164+IF(OFFSET(Scenarios!$A$34,0,$C$1)="Yes",Tracks!J$122,IF(S$2="Proj Yr1",OFFSET(Scenarios!$A$29,0,$C$1),(R$164-Q$164)*(1+IF(OFFSET(Scenarios!$A$33,0,$C$1)="GDP",S$204,IF(OFFSET(Scenarios!$A$33,0,$C$1)="CPI",S$206,0)))))</f>
        <v>14.350805588003992</v>
      </c>
      <c r="T164" s="435">
        <f ca="1">S$164+IF(OFFSET(Scenarios!$A$34,0,$C$1)="Yes",Tracks!K$122,IF(T$2="Proj Yr1",OFFSET(Scenarios!$A$29,0,$C$1),(S$164-R$164)*(1+IF(OFFSET(Scenarios!$A$33,0,$C$1)="GDP",T$204,IF(OFFSET(Scenarios!$A$33,0,$C$1)="CPI",T$206,0)))))</f>
        <v>15.42638889976407</v>
      </c>
    </row>
    <row r="165" spans="1:20" ht="12.75">
      <c r="A165" s="403"/>
      <c r="B165" s="425"/>
      <c r="C165" s="407"/>
      <c r="D165" s="438"/>
      <c r="E165" s="438"/>
      <c r="F165" s="437"/>
      <c r="G165" s="437"/>
      <c r="H165" s="437"/>
      <c r="I165" s="437"/>
      <c r="J165" s="437"/>
      <c r="K165" s="437"/>
      <c r="L165" s="437"/>
      <c r="M165" s="437"/>
      <c r="N165" s="437"/>
      <c r="O165" s="437"/>
      <c r="P165" s="437"/>
      <c r="Q165" s="437"/>
      <c r="R165" s="437"/>
      <c r="S165" s="437"/>
      <c r="T165" s="437"/>
    </row>
    <row r="166" spans="1:19" ht="12.75">
      <c r="A166" s="418" t="s">
        <v>761</v>
      </c>
      <c r="B166" s="425"/>
      <c r="C166" s="407"/>
      <c r="D166" s="407"/>
      <c r="E166" s="407"/>
      <c r="F166" s="407"/>
      <c r="G166" s="407"/>
      <c r="H166" s="407"/>
      <c r="I166" s="407"/>
      <c r="J166" s="407"/>
      <c r="K166" s="407"/>
      <c r="L166" s="407"/>
      <c r="M166" s="407"/>
      <c r="N166" s="407"/>
      <c r="O166" s="407"/>
      <c r="P166" s="407"/>
      <c r="Q166" s="407"/>
      <c r="R166" s="407"/>
      <c r="S166" s="393"/>
    </row>
    <row r="167" spans="1:20" ht="12.75">
      <c r="A167" s="226" t="s">
        <v>369</v>
      </c>
      <c r="B167" s="395"/>
      <c r="C167" s="407"/>
      <c r="D167" s="407">
        <f>Data!C$110</f>
        <v>25.049</v>
      </c>
      <c r="E167" s="407">
        <f>Data!D$110</f>
        <v>25.696</v>
      </c>
      <c r="F167" s="408">
        <f>Data!E$110</f>
        <v>27.462</v>
      </c>
      <c r="G167" s="408">
        <f>Data!F$110</f>
        <v>29.205</v>
      </c>
      <c r="H167" s="408">
        <f>Data!G$110</f>
        <v>30.495</v>
      </c>
      <c r="I167" s="408">
        <f>Data!H$110</f>
        <v>31.42</v>
      </c>
      <c r="J167" s="408">
        <f>Data!I$110</f>
        <v>32.135</v>
      </c>
      <c r="K167" s="392">
        <f aca="true" t="shared" si="82" ref="K167:T167">J$167*(1+K$206)</f>
        <v>32.74723426176298</v>
      </c>
      <c r="L167" s="392">
        <f t="shared" si="82"/>
        <v>33.40217894699824</v>
      </c>
      <c r="M167" s="392">
        <f t="shared" si="82"/>
        <v>34.070222525938206</v>
      </c>
      <c r="N167" s="392">
        <f t="shared" si="82"/>
        <v>34.75162697645697</v>
      </c>
      <c r="O167" s="392">
        <f t="shared" si="82"/>
        <v>35.446659515986106</v>
      </c>
      <c r="P167" s="392">
        <f t="shared" si="82"/>
        <v>36.15559270630583</v>
      </c>
      <c r="Q167" s="392">
        <f t="shared" si="82"/>
        <v>36.87870456043195</v>
      </c>
      <c r="R167" s="392">
        <f t="shared" si="82"/>
        <v>37.61627865164059</v>
      </c>
      <c r="S167" s="392">
        <f t="shared" si="82"/>
        <v>38.368604224673405</v>
      </c>
      <c r="T167" s="392">
        <f t="shared" si="82"/>
        <v>39.13597630916687</v>
      </c>
    </row>
    <row r="168" spans="1:20" ht="12.75">
      <c r="A168" s="226" t="s">
        <v>636</v>
      </c>
      <c r="B168" s="395"/>
      <c r="C168" s="407"/>
      <c r="D168" s="407">
        <f>Data!C$111</f>
        <v>0.804</v>
      </c>
      <c r="E168" s="407">
        <f>Data!D$111</f>
        <v>0.845</v>
      </c>
      <c r="F168" s="408">
        <f>Data!E$111</f>
        <v>0.933</v>
      </c>
      <c r="G168" s="408">
        <f>Data!F$111</f>
        <v>1.036</v>
      </c>
      <c r="H168" s="408">
        <f>Data!G$111</f>
        <v>1.049</v>
      </c>
      <c r="I168" s="408">
        <f>Data!H$111</f>
        <v>1.103</v>
      </c>
      <c r="J168" s="408">
        <f>Data!I$111</f>
        <v>1.019</v>
      </c>
      <c r="K168" s="392">
        <f aca="true" t="shared" si="83" ref="K168:T168">J$168*(1+K$206)</f>
        <v>1.0384139322463508</v>
      </c>
      <c r="L168" s="392">
        <f t="shared" si="83"/>
        <v>1.0591822108912778</v>
      </c>
      <c r="M168" s="392">
        <f t="shared" si="83"/>
        <v>1.0803658551091033</v>
      </c>
      <c r="N168" s="392">
        <f t="shared" si="83"/>
        <v>1.1019731722112853</v>
      </c>
      <c r="O168" s="392">
        <f t="shared" si="83"/>
        <v>1.1240126356555111</v>
      </c>
      <c r="P168" s="392">
        <f t="shared" si="83"/>
        <v>1.1464928883686214</v>
      </c>
      <c r="Q168" s="392">
        <f t="shared" si="83"/>
        <v>1.1694227461359938</v>
      </c>
      <c r="R168" s="392">
        <f t="shared" si="83"/>
        <v>1.1928112010587137</v>
      </c>
      <c r="S168" s="392">
        <f t="shared" si="83"/>
        <v>1.2166674250798881</v>
      </c>
      <c r="T168" s="392">
        <f t="shared" si="83"/>
        <v>1.2410007735814859</v>
      </c>
    </row>
    <row r="169" spans="1:20" ht="12.75">
      <c r="A169" s="226" t="s">
        <v>764</v>
      </c>
      <c r="B169" s="395"/>
      <c r="C169" s="407"/>
      <c r="D169" s="419">
        <f>SUM(Data!C$112,Data!C$66)</f>
        <v>1.062</v>
      </c>
      <c r="E169" s="419">
        <f>SUM(Data!D$112,Data!D$66)</f>
        <v>1.375</v>
      </c>
      <c r="F169" s="420">
        <f>SUM(Data!E$112,Data!E$66)</f>
        <v>1.0590000000000002</v>
      </c>
      <c r="G169" s="420">
        <f>SUM(Data!F$112,Data!F$66)</f>
        <v>0.95</v>
      </c>
      <c r="H169" s="420">
        <f>SUM(Data!G$112,Data!G$66)</f>
        <v>0.9319999999999999</v>
      </c>
      <c r="I169" s="420">
        <f>SUM(Data!H$112,Data!H$66)</f>
        <v>0.9179999999999999</v>
      </c>
      <c r="J169" s="420">
        <f>SUM(Data!I$112,Data!I$66)</f>
        <v>0.8720000000000001</v>
      </c>
      <c r="K169" s="421">
        <f aca="true" t="shared" si="84" ref="K169:T169">J$169*(1+K$206)</f>
        <v>0.888613296289321</v>
      </c>
      <c r="L169" s="421">
        <f t="shared" si="84"/>
        <v>0.9063855622151074</v>
      </c>
      <c r="M169" s="421">
        <f t="shared" si="84"/>
        <v>0.9245132734594095</v>
      </c>
      <c r="N169" s="421">
        <f t="shared" si="84"/>
        <v>0.9430035389285977</v>
      </c>
      <c r="O169" s="421">
        <f t="shared" si="84"/>
        <v>0.9618636097071697</v>
      </c>
      <c r="P169" s="421">
        <f t="shared" si="84"/>
        <v>0.9811008819013131</v>
      </c>
      <c r="Q169" s="421">
        <f t="shared" si="84"/>
        <v>1.0007228995393394</v>
      </c>
      <c r="R169" s="421">
        <f t="shared" si="84"/>
        <v>1.0207373575301262</v>
      </c>
      <c r="S169" s="421">
        <f t="shared" si="84"/>
        <v>1.0411521046807288</v>
      </c>
      <c r="T169" s="421">
        <f t="shared" si="84"/>
        <v>1.0619751467743435</v>
      </c>
    </row>
    <row r="170" spans="1:20" ht="12.75">
      <c r="A170" s="403" t="s">
        <v>462</v>
      </c>
      <c r="B170" s="425"/>
      <c r="C170" s="407"/>
      <c r="D170" s="417">
        <f aca="true" t="shared" si="85" ref="D170:T170">SUM(D$167:D$169)</f>
        <v>26.915</v>
      </c>
      <c r="E170" s="417">
        <f t="shared" si="85"/>
        <v>27.916</v>
      </c>
      <c r="F170" s="422">
        <f t="shared" si="85"/>
        <v>29.454</v>
      </c>
      <c r="G170" s="422">
        <f t="shared" si="85"/>
        <v>31.191</v>
      </c>
      <c r="H170" s="422">
        <f t="shared" si="85"/>
        <v>32.476</v>
      </c>
      <c r="I170" s="422">
        <f t="shared" si="85"/>
        <v>33.441</v>
      </c>
      <c r="J170" s="422">
        <f t="shared" si="85"/>
        <v>34.025999999999996</v>
      </c>
      <c r="K170" s="423">
        <f t="shared" si="85"/>
        <v>34.674261490298655</v>
      </c>
      <c r="L170" s="423">
        <f t="shared" si="85"/>
        <v>35.36774672010463</v>
      </c>
      <c r="M170" s="423">
        <f t="shared" si="85"/>
        <v>36.07510165450672</v>
      </c>
      <c r="N170" s="423">
        <f t="shared" si="85"/>
        <v>36.79660368759686</v>
      </c>
      <c r="O170" s="423">
        <f t="shared" si="85"/>
        <v>37.53253576134879</v>
      </c>
      <c r="P170" s="423">
        <f t="shared" si="85"/>
        <v>38.283186476575764</v>
      </c>
      <c r="Q170" s="423">
        <f t="shared" si="85"/>
        <v>39.04885020610728</v>
      </c>
      <c r="R170" s="423">
        <f t="shared" si="85"/>
        <v>39.82982721022943</v>
      </c>
      <c r="S170" s="423">
        <f t="shared" si="85"/>
        <v>40.62642375443402</v>
      </c>
      <c r="T170" s="423">
        <f t="shared" si="85"/>
        <v>41.4389522295227</v>
      </c>
    </row>
    <row r="171" spans="1:20" ht="12.75">
      <c r="A171" s="403" t="s">
        <v>463</v>
      </c>
      <c r="B171" s="395"/>
      <c r="C171" s="407"/>
      <c r="D171" s="417">
        <f>SUM(Data!C$60:C$61,Data!C$63:C$64,Data!C$66)</f>
        <v>11.030999999999999</v>
      </c>
      <c r="E171" s="417">
        <f>SUM(Data!D$60:D$61,Data!D$63:D$64,Data!D$66)</f>
        <v>12.443</v>
      </c>
      <c r="F171" s="422">
        <f>SUM(Data!E$60:E$61,Data!E$63:E$64,Data!E$66)</f>
        <v>13.104000000000001</v>
      </c>
      <c r="G171" s="422">
        <f>SUM(Data!F$60:F$61,Data!F$63:F$64,Data!F$66)</f>
        <v>13.639</v>
      </c>
      <c r="H171" s="422">
        <f>SUM(Data!G$60:G$61,Data!G$63:G$64,Data!G$66)</f>
        <v>14.176</v>
      </c>
      <c r="I171" s="422">
        <f>SUM(Data!H$60:H$61,Data!H$63:H$64,Data!H$66)</f>
        <v>14.427</v>
      </c>
      <c r="J171" s="422">
        <f>SUM(Data!I$60:I$61,Data!I$63:I$64,Data!I$66)</f>
        <v>14.253</v>
      </c>
      <c r="K171" s="423">
        <f aca="true" t="shared" si="86" ref="K171:T171">J$171*(1+K$206)</f>
        <v>14.524547376160195</v>
      </c>
      <c r="L171" s="423">
        <f t="shared" si="86"/>
        <v>14.8150383236834</v>
      </c>
      <c r="M171" s="423">
        <f t="shared" si="86"/>
        <v>15.111339090157069</v>
      </c>
      <c r="N171" s="423">
        <f t="shared" si="86"/>
        <v>15.41356587196021</v>
      </c>
      <c r="O171" s="423">
        <f t="shared" si="86"/>
        <v>15.721837189399416</v>
      </c>
      <c r="P171" s="423">
        <f t="shared" si="86"/>
        <v>16.036273933187406</v>
      </c>
      <c r="Q171" s="423">
        <f t="shared" si="86"/>
        <v>16.356999411851156</v>
      </c>
      <c r="R171" s="423">
        <f t="shared" si="86"/>
        <v>16.684139400088178</v>
      </c>
      <c r="S171" s="423">
        <f t="shared" si="86"/>
        <v>17.01782218808994</v>
      </c>
      <c r="T171" s="423">
        <f t="shared" si="86"/>
        <v>17.35817863185174</v>
      </c>
    </row>
    <row r="172" spans="1:20" ht="12.75">
      <c r="A172" s="323" t="s">
        <v>799</v>
      </c>
      <c r="B172" s="395"/>
      <c r="C172" s="407"/>
      <c r="D172" s="442">
        <f>SUM(D$113,D$123)-Data!C$85</f>
        <v>0.22299999999999898</v>
      </c>
      <c r="E172" s="442">
        <f>SUM(E$113,E$123)-Data!D$85</f>
        <v>-0.10099999999999909</v>
      </c>
      <c r="F172" s="443">
        <f>SUM(F$113,F$123)-Data!E$85</f>
        <v>0.3159999999999954</v>
      </c>
      <c r="G172" s="443">
        <f>SUM(G$113,G$123)-Data!F$85</f>
        <v>0.31399999999999295</v>
      </c>
      <c r="H172" s="443">
        <f>SUM(H$113,H$123)-Data!G$85</f>
        <v>0.3149999999999977</v>
      </c>
      <c r="I172" s="443">
        <f>SUM(I$113,I$123)-Data!H$85</f>
        <v>0.31699999999999307</v>
      </c>
      <c r="J172" s="443">
        <f>SUM(J$113,J$123)-Data!I$85</f>
        <v>0.3159999999999954</v>
      </c>
      <c r="K172" s="447">
        <f aca="true" t="shared" si="87" ref="K172:T172">J$172*(1+K$206)</f>
        <v>0.3220204147103455</v>
      </c>
      <c r="L172" s="447">
        <f t="shared" si="87"/>
        <v>0.32846082300455237</v>
      </c>
      <c r="M172" s="447">
        <f t="shared" si="87"/>
        <v>0.33503003946464344</v>
      </c>
      <c r="N172" s="447">
        <f t="shared" si="87"/>
        <v>0.3417306402539363</v>
      </c>
      <c r="O172" s="447">
        <f t="shared" si="87"/>
        <v>0.34856525305901503</v>
      </c>
      <c r="P172" s="447">
        <f t="shared" si="87"/>
        <v>0.35553655812019536</v>
      </c>
      <c r="Q172" s="447">
        <f t="shared" si="87"/>
        <v>0.36264728928259926</v>
      </c>
      <c r="R172" s="447">
        <f t="shared" si="87"/>
        <v>0.36990023506825126</v>
      </c>
      <c r="S172" s="447">
        <f t="shared" si="87"/>
        <v>0.3772982397696163</v>
      </c>
      <c r="T172" s="447">
        <f t="shared" si="87"/>
        <v>0.3848442045650086</v>
      </c>
    </row>
    <row r="173" spans="1:20" ht="12.75">
      <c r="A173" s="424"/>
      <c r="B173" s="425"/>
      <c r="C173" s="407"/>
      <c r="D173" s="438"/>
      <c r="E173" s="438"/>
      <c r="F173" s="437"/>
      <c r="G173" s="437"/>
      <c r="H173" s="437"/>
      <c r="I173" s="437"/>
      <c r="J173" s="437"/>
      <c r="K173" s="441"/>
      <c r="L173" s="441"/>
      <c r="M173" s="441"/>
      <c r="N173" s="441"/>
      <c r="O173" s="441"/>
      <c r="P173" s="441"/>
      <c r="Q173" s="441"/>
      <c r="R173" s="441"/>
      <c r="S173" s="441"/>
      <c r="T173" s="441"/>
    </row>
    <row r="174" spans="1:20" ht="12.75">
      <c r="A174" s="418" t="s">
        <v>762</v>
      </c>
      <c r="B174" s="425"/>
      <c r="C174" s="407"/>
      <c r="D174" s="438"/>
      <c r="E174" s="438"/>
      <c r="F174" s="437"/>
      <c r="G174" s="437"/>
      <c r="H174" s="437"/>
      <c r="I174" s="437"/>
      <c r="J174" s="437"/>
      <c r="K174" s="441"/>
      <c r="L174" s="441"/>
      <c r="M174" s="441"/>
      <c r="N174" s="441"/>
      <c r="O174" s="441"/>
      <c r="P174" s="441"/>
      <c r="Q174" s="441"/>
      <c r="R174" s="441"/>
      <c r="S174" s="441"/>
      <c r="T174" s="441"/>
    </row>
    <row r="175" spans="1:20" ht="12.75">
      <c r="A175" s="323" t="s">
        <v>116</v>
      </c>
      <c r="B175" s="395"/>
      <c r="C175" s="407"/>
      <c r="D175" s="407">
        <f>Data!C$182</f>
        <v>0.704</v>
      </c>
      <c r="E175" s="407">
        <f>Data!D$182</f>
        <v>0.562</v>
      </c>
      <c r="F175" s="408">
        <f>Data!E$182</f>
        <v>0</v>
      </c>
      <c r="G175" s="408">
        <f>Data!F$182</f>
        <v>0</v>
      </c>
      <c r="H175" s="408">
        <f>Data!G$182</f>
        <v>0</v>
      </c>
      <c r="I175" s="408">
        <f>Data!H$182</f>
        <v>0</v>
      </c>
      <c r="J175" s="408">
        <f>Data!I$182</f>
        <v>0</v>
      </c>
      <c r="K175" s="448">
        <f>Tracks!H$112</f>
        <v>0</v>
      </c>
      <c r="L175" s="448">
        <f>Tracks!I$112</f>
        <v>0</v>
      </c>
      <c r="M175" s="448">
        <f>Tracks!J$112</f>
        <v>0</v>
      </c>
      <c r="N175" s="448">
        <f>Tracks!K$112</f>
        <v>0</v>
      </c>
      <c r="O175" s="448">
        <f>Tracks!L$112</f>
        <v>0</v>
      </c>
      <c r="P175" s="448">
        <f>Tracks!M$112</f>
        <v>0</v>
      </c>
      <c r="Q175" s="448">
        <f>Tracks!N$112</f>
        <v>0</v>
      </c>
      <c r="R175" s="448">
        <f>Tracks!O$112</f>
        <v>0</v>
      </c>
      <c r="S175" s="448">
        <f>Tracks!P$112</f>
        <v>0</v>
      </c>
      <c r="T175" s="448">
        <f>Tracks!Q$112</f>
        <v>0</v>
      </c>
    </row>
    <row r="176" spans="1:20" ht="12.75">
      <c r="A176" s="323" t="s">
        <v>747</v>
      </c>
      <c r="B176" s="395"/>
      <c r="C176" s="407"/>
      <c r="D176" s="407">
        <f>Data!C$183</f>
        <v>0</v>
      </c>
      <c r="E176" s="407">
        <f>Data!D$183</f>
        <v>0</v>
      </c>
      <c r="F176" s="408">
        <f>Data!E$183</f>
        <v>0.023</v>
      </c>
      <c r="G176" s="408">
        <f>Data!F$183</f>
        <v>0.173</v>
      </c>
      <c r="H176" s="408">
        <f>Data!G$183</f>
        <v>0.197</v>
      </c>
      <c r="I176" s="408">
        <f>Data!H$183</f>
        <v>-0.069</v>
      </c>
      <c r="J176" s="408">
        <f>Data!I$183</f>
        <v>0.238</v>
      </c>
      <c r="K176" s="448">
        <f>Tracks!H$117</f>
        <v>0</v>
      </c>
      <c r="L176" s="448">
        <f>Tracks!I$117</f>
        <v>0</v>
      </c>
      <c r="M176" s="448">
        <f>Tracks!J$117</f>
        <v>0</v>
      </c>
      <c r="N176" s="448">
        <f>Tracks!K$117</f>
        <v>0</v>
      </c>
      <c r="O176" s="448">
        <f>Tracks!L$117</f>
        <v>0</v>
      </c>
      <c r="P176" s="448">
        <f>Tracks!M$117</f>
        <v>0</v>
      </c>
      <c r="Q176" s="448">
        <f>Tracks!N$117</f>
        <v>0</v>
      </c>
      <c r="R176" s="448">
        <f>Tracks!O$117</f>
        <v>0</v>
      </c>
      <c r="S176" s="448">
        <f>Tracks!P$117</f>
        <v>0</v>
      </c>
      <c r="T176" s="448">
        <f>Tracks!Q$117</f>
        <v>0</v>
      </c>
    </row>
    <row r="177" spans="1:20" ht="12.75">
      <c r="A177" s="323" t="s">
        <v>748</v>
      </c>
      <c r="B177" s="395"/>
      <c r="C177" s="407"/>
      <c r="D177" s="407">
        <f>Data!C$184</f>
        <v>0</v>
      </c>
      <c r="E177" s="407">
        <f>Data!D$184</f>
        <v>0</v>
      </c>
      <c r="F177" s="408">
        <f>Data!E$184</f>
        <v>0</v>
      </c>
      <c r="G177" s="408">
        <f>Data!F$184</f>
        <v>0.321</v>
      </c>
      <c r="H177" s="408">
        <f>Data!G$184</f>
        <v>0.72</v>
      </c>
      <c r="I177" s="408">
        <f>Data!H$184</f>
        <v>0.902</v>
      </c>
      <c r="J177" s="408">
        <f>Data!I$184</f>
        <v>1.377</v>
      </c>
      <c r="K177" s="448">
        <f>Tracks!H$114</f>
        <v>1.35</v>
      </c>
      <c r="L177" s="448">
        <f>Tracks!I$114</f>
        <v>1.35</v>
      </c>
      <c r="M177" s="448">
        <f>Tracks!J$114</f>
        <v>1.35</v>
      </c>
      <c r="N177" s="448">
        <f>Tracks!K$114</f>
        <v>1.35</v>
      </c>
      <c r="O177" s="448">
        <f>Tracks!L$114</f>
        <v>1.35</v>
      </c>
      <c r="P177" s="448">
        <f>Tracks!M$114</f>
        <v>1.2479166666666666</v>
      </c>
      <c r="Q177" s="448">
        <f>Tracks!N$114</f>
        <v>1.1458333333333335</v>
      </c>
      <c r="R177" s="448">
        <f>Tracks!O$114</f>
        <v>1.04375</v>
      </c>
      <c r="S177" s="448">
        <f>Tracks!P$114</f>
        <v>0.9416666666666667</v>
      </c>
      <c r="T177" s="448">
        <f>Tracks!Q$114</f>
        <v>0.8395833333333333</v>
      </c>
    </row>
    <row r="178" spans="1:20" ht="12.75">
      <c r="A178" s="323" t="s">
        <v>749</v>
      </c>
      <c r="B178" s="395"/>
      <c r="C178" s="407"/>
      <c r="D178" s="407">
        <f>Data!C$185</f>
        <v>0</v>
      </c>
      <c r="E178" s="407">
        <f>Data!D$185</f>
        <v>0</v>
      </c>
      <c r="F178" s="408">
        <f>Data!E$185</f>
        <v>0.023</v>
      </c>
      <c r="G178" s="408">
        <f>Data!F$185</f>
        <v>0.471</v>
      </c>
      <c r="H178" s="408">
        <f>Data!G$185</f>
        <v>0.744</v>
      </c>
      <c r="I178" s="408">
        <f>Data!H$185</f>
        <v>0.636</v>
      </c>
      <c r="J178" s="408">
        <f>Data!I$185</f>
        <v>1.684</v>
      </c>
      <c r="K178" s="448">
        <f>Tracks!H$115</f>
        <v>1.35</v>
      </c>
      <c r="L178" s="448">
        <f>Tracks!I$115</f>
        <v>1.35</v>
      </c>
      <c r="M178" s="448">
        <f>Tracks!J$115</f>
        <v>1.35</v>
      </c>
      <c r="N178" s="448">
        <f>Tracks!K$115</f>
        <v>1.35</v>
      </c>
      <c r="O178" s="448">
        <f>Tracks!L$115</f>
        <v>1.35</v>
      </c>
      <c r="P178" s="448">
        <f>Tracks!M$115</f>
        <v>1.2479166666666666</v>
      </c>
      <c r="Q178" s="448">
        <f>Tracks!N$115</f>
        <v>1.1458333333333335</v>
      </c>
      <c r="R178" s="448">
        <f>Tracks!O$115</f>
        <v>1.04375</v>
      </c>
      <c r="S178" s="448">
        <f>Tracks!P$115</f>
        <v>0.9416666666666667</v>
      </c>
      <c r="T178" s="448">
        <f>Tracks!Q$115</f>
        <v>0.8395833333333333</v>
      </c>
    </row>
    <row r="179" spans="1:20" ht="12.75">
      <c r="A179" s="323"/>
      <c r="B179" s="425"/>
      <c r="C179" s="407"/>
      <c r="D179" s="438"/>
      <c r="E179" s="438"/>
      <c r="F179" s="437"/>
      <c r="G179" s="437"/>
      <c r="H179" s="437"/>
      <c r="I179" s="437"/>
      <c r="J179" s="437"/>
      <c r="K179" s="441"/>
      <c r="L179" s="441"/>
      <c r="M179" s="441"/>
      <c r="N179" s="441"/>
      <c r="O179" s="441"/>
      <c r="P179" s="441"/>
      <c r="Q179" s="441"/>
      <c r="R179" s="441"/>
      <c r="S179" s="441"/>
      <c r="T179" s="441"/>
    </row>
    <row r="180" spans="1:20" ht="12.75">
      <c r="A180" s="418" t="s">
        <v>464</v>
      </c>
      <c r="B180" s="425"/>
      <c r="C180" s="407"/>
      <c r="D180" s="438"/>
      <c r="E180" s="438"/>
      <c r="F180" s="438"/>
      <c r="G180" s="438"/>
      <c r="H180" s="438"/>
      <c r="I180" s="438"/>
      <c r="J180" s="438"/>
      <c r="K180" s="438"/>
      <c r="L180" s="438"/>
      <c r="M180" s="438"/>
      <c r="N180" s="438"/>
      <c r="O180" s="438"/>
      <c r="P180" s="438"/>
      <c r="Q180" s="438"/>
      <c r="R180" s="438"/>
      <c r="S180" s="438"/>
      <c r="T180" s="438"/>
    </row>
    <row r="181" spans="1:20" ht="12.75">
      <c r="A181" s="226" t="s">
        <v>765</v>
      </c>
      <c r="B181" s="395"/>
      <c r="C181" s="407"/>
      <c r="D181" s="407">
        <f>Data!C$73</f>
        <v>7.161</v>
      </c>
      <c r="E181" s="407">
        <f>Data!D$73</f>
        <v>8.257</v>
      </c>
      <c r="F181" s="408">
        <f>Data!E$73</f>
        <v>10.557</v>
      </c>
      <c r="G181" s="408">
        <f>Data!F$73</f>
        <v>10.307</v>
      </c>
      <c r="H181" s="408">
        <f>Data!G$73</f>
        <v>10.063</v>
      </c>
      <c r="I181" s="408">
        <f>Data!H$73</f>
        <v>9.85</v>
      </c>
      <c r="J181" s="408">
        <f>Data!I$73</f>
        <v>9.693</v>
      </c>
      <c r="K181" s="435">
        <f>J$181*Tracks!N$18/Tracks!M$18</f>
        <v>9.540984316962442</v>
      </c>
      <c r="L181" s="435">
        <f>K$181*Tracks!O$18/Tracks!N$18</f>
        <v>9.332264723208073</v>
      </c>
      <c r="M181" s="435">
        <f>L$181*Tracks!P$18/Tracks!O$18</f>
        <v>9.09802221185668</v>
      </c>
      <c r="N181" s="435">
        <f>M$181*Tracks!Q$18/Tracks!P$18</f>
        <v>8.87050745217642</v>
      </c>
      <c r="O181" s="435">
        <f>N$181*Tracks!R$18/Tracks!Q$18</f>
        <v>8.64579836024358</v>
      </c>
      <c r="P181" s="435">
        <f>O$181*Tracks!S$18/Tracks!R$18</f>
        <v>8.405198015816927</v>
      </c>
      <c r="Q181" s="435">
        <f>P$181*Tracks!T$18/Tracks!S$18</f>
        <v>8.14760968093131</v>
      </c>
      <c r="R181" s="435">
        <f>Q$181*Tracks!U$18/Tracks!T$18</f>
        <v>7.880286335562198</v>
      </c>
      <c r="S181" s="435">
        <f>R$181*Tracks!V$18/Tracks!U$18</f>
        <v>7.5981080407916295</v>
      </c>
      <c r="T181" s="435">
        <f>S$181*Tracks!W$18/Tracks!V$18</f>
        <v>7.311651553859261</v>
      </c>
    </row>
    <row r="182" spans="1:20" ht="12.75">
      <c r="A182" s="93" t="s">
        <v>766</v>
      </c>
      <c r="B182" s="446"/>
      <c r="C182" s="407"/>
      <c r="D182" s="407">
        <f>SUM(D$175,D$176)</f>
        <v>0.704</v>
      </c>
      <c r="E182" s="407">
        <f aca="true" t="shared" si="88" ref="E182:T182">SUM(E$175,E$176)</f>
        <v>0.562</v>
      </c>
      <c r="F182" s="408">
        <f t="shared" si="88"/>
        <v>0.023</v>
      </c>
      <c r="G182" s="408">
        <f t="shared" si="88"/>
        <v>0.173</v>
      </c>
      <c r="H182" s="408">
        <f t="shared" si="88"/>
        <v>0.197</v>
      </c>
      <c r="I182" s="408">
        <f t="shared" si="88"/>
        <v>-0.069</v>
      </c>
      <c r="J182" s="408">
        <f t="shared" si="88"/>
        <v>0.238</v>
      </c>
      <c r="K182" s="448">
        <f t="shared" si="88"/>
        <v>0</v>
      </c>
      <c r="L182" s="448">
        <f t="shared" si="88"/>
        <v>0</v>
      </c>
      <c r="M182" s="448">
        <f t="shared" si="88"/>
        <v>0</v>
      </c>
      <c r="N182" s="448">
        <f t="shared" si="88"/>
        <v>0</v>
      </c>
      <c r="O182" s="448">
        <f t="shared" si="88"/>
        <v>0</v>
      </c>
      <c r="P182" s="448">
        <f t="shared" si="88"/>
        <v>0</v>
      </c>
      <c r="Q182" s="448">
        <f t="shared" si="88"/>
        <v>0</v>
      </c>
      <c r="R182" s="448">
        <f t="shared" si="88"/>
        <v>0</v>
      </c>
      <c r="S182" s="448">
        <f t="shared" si="88"/>
        <v>0</v>
      </c>
      <c r="T182" s="448">
        <f t="shared" si="88"/>
        <v>0</v>
      </c>
    </row>
    <row r="183" spans="1:20" ht="12.75">
      <c r="A183" s="93" t="s">
        <v>767</v>
      </c>
      <c r="B183" s="395"/>
      <c r="C183" s="407"/>
      <c r="D183" s="407">
        <f>Data!C$115-SUM(D$181,D$182)</f>
        <v>10.673000000000002</v>
      </c>
      <c r="E183" s="407">
        <f>Data!D$115-SUM(E$181,E$182)</f>
        <v>13.213000000000001</v>
      </c>
      <c r="F183" s="408">
        <f>Data!E$115-SUM(F$181,F$182)</f>
        <v>13.496</v>
      </c>
      <c r="G183" s="408">
        <f>Data!F$115-SUM(G$181,G$182)</f>
        <v>13.780999999999999</v>
      </c>
      <c r="H183" s="408">
        <f>Data!G$115-SUM(H$181,H$182)</f>
        <v>13.981</v>
      </c>
      <c r="I183" s="408">
        <f>Data!H$115-SUM(I$181,I$182)</f>
        <v>14.809000000000001</v>
      </c>
      <c r="J183" s="408">
        <f>Data!I$115-SUM(J$181,J$182)</f>
        <v>14.911</v>
      </c>
      <c r="K183" s="448">
        <f>J$183*(1+K$206)</f>
        <v>15.195083556158329</v>
      </c>
      <c r="L183" s="448">
        <f aca="true" t="shared" si="89" ref="L183:T183">K$183*(1+L$206)</f>
        <v>15.498985227281496</v>
      </c>
      <c r="M183" s="448">
        <f t="shared" si="89"/>
        <v>15.808964931827127</v>
      </c>
      <c r="N183" s="448">
        <f t="shared" si="89"/>
        <v>16.12514423046367</v>
      </c>
      <c r="O183" s="448">
        <f t="shared" si="89"/>
        <v>16.447647115072943</v>
      </c>
      <c r="P183" s="448">
        <f t="shared" si="89"/>
        <v>16.776600057374402</v>
      </c>
      <c r="Q183" s="448">
        <f t="shared" si="89"/>
        <v>17.11213205852189</v>
      </c>
      <c r="R183" s="448">
        <f t="shared" si="89"/>
        <v>17.454374699692327</v>
      </c>
      <c r="S183" s="448">
        <f t="shared" si="89"/>
        <v>17.803462193686173</v>
      </c>
      <c r="T183" s="448">
        <f t="shared" si="89"/>
        <v>18.159531437559895</v>
      </c>
    </row>
    <row r="184" spans="1:20" ht="12.75">
      <c r="A184" s="227" t="s">
        <v>801</v>
      </c>
      <c r="B184" s="395"/>
      <c r="C184" s="407"/>
      <c r="D184" s="419">
        <f>D$194-Data!C$114</f>
        <v>0.007000000000005002</v>
      </c>
      <c r="E184" s="419">
        <f>E$194-Data!D$114</f>
        <v>0.16899999999999693</v>
      </c>
      <c r="F184" s="420">
        <f>F$194-Data!E$114</f>
        <v>0.1980000000000004</v>
      </c>
      <c r="G184" s="420">
        <f>G$194-Data!F$114</f>
        <v>0.2010000000000005</v>
      </c>
      <c r="H184" s="420">
        <f>H$194-Data!G$114</f>
        <v>0.19899999999999807</v>
      </c>
      <c r="I184" s="420">
        <f>I$194-Data!H$114</f>
        <v>0.20100000000000762</v>
      </c>
      <c r="J184" s="420">
        <f>J$194-Data!I$114</f>
        <v>0.20000000000000284</v>
      </c>
      <c r="K184" s="421">
        <f aca="true" t="shared" si="90" ref="K184:T184">IF(K$2="Proj Yr1",0,J$184)</f>
        <v>0</v>
      </c>
      <c r="L184" s="421">
        <f t="shared" si="90"/>
        <v>0</v>
      </c>
      <c r="M184" s="421">
        <f t="shared" si="90"/>
        <v>0</v>
      </c>
      <c r="N184" s="421">
        <f t="shared" si="90"/>
        <v>0</v>
      </c>
      <c r="O184" s="421">
        <f t="shared" si="90"/>
        <v>0</v>
      </c>
      <c r="P184" s="421">
        <f t="shared" si="90"/>
        <v>0</v>
      </c>
      <c r="Q184" s="421">
        <f t="shared" si="90"/>
        <v>0</v>
      </c>
      <c r="R184" s="421">
        <f t="shared" si="90"/>
        <v>0</v>
      </c>
      <c r="S184" s="421">
        <f t="shared" si="90"/>
        <v>0</v>
      </c>
      <c r="T184" s="421">
        <f t="shared" si="90"/>
        <v>0</v>
      </c>
    </row>
    <row r="185" spans="1:20" ht="12.75">
      <c r="A185" s="403" t="s">
        <v>209</v>
      </c>
      <c r="B185" s="446"/>
      <c r="C185" s="407"/>
      <c r="D185" s="417">
        <f>SUM(D$181:D$183,-D$184)</f>
        <v>18.530999999999995</v>
      </c>
      <c r="E185" s="417">
        <f>SUM(E$181:E$183,-E$184)</f>
        <v>21.863000000000003</v>
      </c>
      <c r="F185" s="422">
        <f>SUM(F$181:F$183,-F$184)</f>
        <v>23.878</v>
      </c>
      <c r="G185" s="422">
        <f aca="true" t="shared" si="91" ref="G185:T185">SUM(G$181:G$183,-G$184)</f>
        <v>24.06</v>
      </c>
      <c r="H185" s="422">
        <f t="shared" si="91"/>
        <v>24.042</v>
      </c>
      <c r="I185" s="422">
        <f t="shared" si="91"/>
        <v>24.388999999999992</v>
      </c>
      <c r="J185" s="422">
        <f t="shared" si="91"/>
        <v>24.641999999999996</v>
      </c>
      <c r="K185" s="423">
        <f t="shared" si="91"/>
        <v>24.73606787312077</v>
      </c>
      <c r="L185" s="423">
        <f t="shared" si="91"/>
        <v>24.83124995048957</v>
      </c>
      <c r="M185" s="423">
        <f t="shared" si="91"/>
        <v>24.906987143683807</v>
      </c>
      <c r="N185" s="423">
        <f t="shared" si="91"/>
        <v>24.995651682640087</v>
      </c>
      <c r="O185" s="423">
        <f t="shared" si="91"/>
        <v>25.09344547531652</v>
      </c>
      <c r="P185" s="423">
        <f t="shared" si="91"/>
        <v>25.18179807319133</v>
      </c>
      <c r="Q185" s="423">
        <f t="shared" si="91"/>
        <v>25.2597417394532</v>
      </c>
      <c r="R185" s="423">
        <f t="shared" si="91"/>
        <v>25.334661035254527</v>
      </c>
      <c r="S185" s="423">
        <f t="shared" si="91"/>
        <v>25.401570234477802</v>
      </c>
      <c r="T185" s="423">
        <f t="shared" si="91"/>
        <v>25.471182991419155</v>
      </c>
    </row>
    <row r="186" spans="1:20" ht="12.75">
      <c r="A186" s="227" t="s">
        <v>773</v>
      </c>
      <c r="B186" s="395"/>
      <c r="C186" s="407"/>
      <c r="D186" s="442">
        <f>SUM(Data!C$177,Data!C$178)</f>
        <v>17.396</v>
      </c>
      <c r="E186" s="442">
        <f>SUM(Data!D$177,Data!D$178)</f>
        <v>20.471</v>
      </c>
      <c r="F186" s="443">
        <f>SUM(Data!E$177,Data!E$178)</f>
        <v>24.049</v>
      </c>
      <c r="G186" s="443">
        <f>SUM(Data!F$177,Data!F$178)</f>
        <v>25.262</v>
      </c>
      <c r="H186" s="443">
        <f>SUM(Data!G$177,Data!G$178)</f>
        <v>26.607</v>
      </c>
      <c r="I186" s="443">
        <f>SUM(Data!H$177,Data!H$178)</f>
        <v>28.162000000000003</v>
      </c>
      <c r="J186" s="443">
        <f>SUM(Data!I$177,Data!I$178)</f>
        <v>29.906000000000002</v>
      </c>
      <c r="K186" s="435">
        <f aca="true" t="shared" si="92" ref="K186:T186">J$186*(1+K$204)</f>
        <v>31.640417573930865</v>
      </c>
      <c r="L186" s="435">
        <f t="shared" si="92"/>
        <v>33.50537573061966</v>
      </c>
      <c r="M186" s="435">
        <f t="shared" si="92"/>
        <v>35.382471542844414</v>
      </c>
      <c r="N186" s="435">
        <f t="shared" si="92"/>
        <v>36.94974398633232</v>
      </c>
      <c r="O186" s="435">
        <f t="shared" si="92"/>
        <v>38.52387821461902</v>
      </c>
      <c r="P186" s="435">
        <f t="shared" si="92"/>
        <v>40.15630641124528</v>
      </c>
      <c r="Q186" s="435">
        <f t="shared" si="92"/>
        <v>41.850585768051616</v>
      </c>
      <c r="R186" s="435">
        <f t="shared" si="92"/>
        <v>43.60086557649265</v>
      </c>
      <c r="S186" s="435">
        <f t="shared" si="92"/>
        <v>45.43253963445668</v>
      </c>
      <c r="T186" s="435">
        <f t="shared" si="92"/>
        <v>47.33507746297569</v>
      </c>
    </row>
    <row r="187" spans="1:20" ht="12.75">
      <c r="A187" s="227" t="s">
        <v>774</v>
      </c>
      <c r="B187" s="395"/>
      <c r="C187" s="407"/>
      <c r="D187" s="419">
        <f>SUM(Data!C$68:C$70,Data!C$72:C$74)-SUM(D$185,D$186)</f>
        <v>5.69700000000001</v>
      </c>
      <c r="E187" s="419">
        <f>SUM(Data!D$68:D$70,Data!D$72:D$74)-SUM(E$185,E$186)</f>
        <v>6.876999999999995</v>
      </c>
      <c r="F187" s="420">
        <f>SUM(Data!E$68:E$70,Data!E$72:E$74)-SUM(F$185,F$186)</f>
        <v>6.3430000000000035</v>
      </c>
      <c r="G187" s="420">
        <f>SUM(Data!F$68:F$70,Data!F$72:F$74)-SUM(G$185,G$186)</f>
        <v>6.537999999999997</v>
      </c>
      <c r="H187" s="420">
        <f>SUM(Data!G$68:G$70,Data!G$72:G$74)-SUM(H$185,H$186)</f>
        <v>6.872</v>
      </c>
      <c r="I187" s="420">
        <f>SUM(Data!H$68:H$70,Data!H$72:H$74)-SUM(I$185,I$186)</f>
        <v>6.96200000000001</v>
      </c>
      <c r="J187" s="420">
        <f>SUM(Data!I$68:I$70,Data!I$72:I$74)-SUM(J$185,J$186)</f>
        <v>7.106999999999992</v>
      </c>
      <c r="K187" s="421">
        <f aca="true" t="shared" si="93" ref="K187:T187">J$187*(1+K$206)</f>
        <v>7.242402175147014</v>
      </c>
      <c r="L187" s="421">
        <f t="shared" si="93"/>
        <v>7.387250218649954</v>
      </c>
      <c r="M187" s="421">
        <f t="shared" si="93"/>
        <v>7.534995223022953</v>
      </c>
      <c r="N187" s="421">
        <f t="shared" si="93"/>
        <v>7.685695127483412</v>
      </c>
      <c r="O187" s="421">
        <f t="shared" si="93"/>
        <v>7.839409030033081</v>
      </c>
      <c r="P187" s="421">
        <f t="shared" si="93"/>
        <v>7.996197210633743</v>
      </c>
      <c r="Q187" s="421">
        <f t="shared" si="93"/>
        <v>8.156121154846417</v>
      </c>
      <c r="R187" s="421">
        <f t="shared" si="93"/>
        <v>8.319243577943345</v>
      </c>
      <c r="S187" s="421">
        <f t="shared" si="93"/>
        <v>8.485628449502212</v>
      </c>
      <c r="T187" s="421">
        <f t="shared" si="93"/>
        <v>8.655341018492257</v>
      </c>
    </row>
    <row r="188" spans="1:20" ht="12.75">
      <c r="A188" s="403" t="s">
        <v>210</v>
      </c>
      <c r="B188" s="446"/>
      <c r="C188" s="407"/>
      <c r="D188" s="417">
        <f>SUM(D$185:D$187)</f>
        <v>41.624</v>
      </c>
      <c r="E188" s="417">
        <f>SUM(E$185:E$187)</f>
        <v>49.211</v>
      </c>
      <c r="F188" s="422">
        <f>SUM(F$185:F$187)</f>
        <v>54.27</v>
      </c>
      <c r="G188" s="422">
        <f aca="true" t="shared" si="94" ref="G188:T188">SUM(G$185:G$187)</f>
        <v>55.86</v>
      </c>
      <c r="H188" s="422">
        <f t="shared" si="94"/>
        <v>57.521</v>
      </c>
      <c r="I188" s="422">
        <f t="shared" si="94"/>
        <v>59.513000000000005</v>
      </c>
      <c r="J188" s="422">
        <f t="shared" si="94"/>
        <v>61.654999999999994</v>
      </c>
      <c r="K188" s="423">
        <f t="shared" si="94"/>
        <v>63.61888762219865</v>
      </c>
      <c r="L188" s="423">
        <f t="shared" si="94"/>
        <v>65.7238758997592</v>
      </c>
      <c r="M188" s="423">
        <f t="shared" si="94"/>
        <v>67.82445390955118</v>
      </c>
      <c r="N188" s="423">
        <f t="shared" si="94"/>
        <v>69.63109079645582</v>
      </c>
      <c r="O188" s="423">
        <f t="shared" si="94"/>
        <v>71.45673271996861</v>
      </c>
      <c r="P188" s="423">
        <f t="shared" si="94"/>
        <v>73.33430169507035</v>
      </c>
      <c r="Q188" s="423">
        <f t="shared" si="94"/>
        <v>75.26644866235124</v>
      </c>
      <c r="R188" s="423">
        <f t="shared" si="94"/>
        <v>77.25477018969052</v>
      </c>
      <c r="S188" s="423">
        <f t="shared" si="94"/>
        <v>79.3197383184367</v>
      </c>
      <c r="T188" s="423">
        <f t="shared" si="94"/>
        <v>81.4616014728871</v>
      </c>
    </row>
    <row r="189" spans="1:20" ht="12.75">
      <c r="A189" s="403"/>
      <c r="B189" s="446"/>
      <c r="C189" s="407"/>
      <c r="D189" s="417"/>
      <c r="E189" s="417"/>
      <c r="F189" s="422"/>
      <c r="G189" s="422"/>
      <c r="H189" s="422"/>
      <c r="I189" s="422"/>
      <c r="J189" s="422"/>
      <c r="K189" s="423"/>
      <c r="L189" s="423"/>
      <c r="M189" s="423"/>
      <c r="N189" s="423"/>
      <c r="O189" s="423"/>
      <c r="P189" s="423"/>
      <c r="Q189" s="423"/>
      <c r="R189" s="423"/>
      <c r="S189" s="423"/>
      <c r="T189" s="423"/>
    </row>
    <row r="190" spans="1:19" ht="12.75">
      <c r="A190" s="418" t="s">
        <v>775</v>
      </c>
      <c r="B190" s="446"/>
      <c r="C190" s="449"/>
      <c r="D190" s="405"/>
      <c r="E190" s="405"/>
      <c r="F190" s="393"/>
      <c r="G190" s="393"/>
      <c r="H190" s="393"/>
      <c r="I190" s="393"/>
      <c r="J190" s="393"/>
      <c r="K190" s="393"/>
      <c r="L190" s="393"/>
      <c r="M190" s="393"/>
      <c r="N190" s="393"/>
      <c r="O190" s="393"/>
      <c r="P190" s="393"/>
      <c r="Q190" s="393"/>
      <c r="R190" s="393"/>
      <c r="S190" s="393"/>
    </row>
    <row r="191" spans="1:20" ht="12.75">
      <c r="A191" s="403" t="s">
        <v>402</v>
      </c>
      <c r="B191" s="395"/>
      <c r="C191" s="449"/>
      <c r="D191" s="417">
        <f>Data!C$80</f>
        <v>10.735</v>
      </c>
      <c r="E191" s="417">
        <f>Data!D$80</f>
        <v>12.918</v>
      </c>
      <c r="F191" s="422">
        <f>Data!E$80</f>
        <v>17.502</v>
      </c>
      <c r="G191" s="422">
        <f>Data!F$80</f>
        <v>18.347</v>
      </c>
      <c r="H191" s="422">
        <f>Data!G$80</f>
        <v>19.55</v>
      </c>
      <c r="I191" s="422">
        <f>Data!H$80</f>
        <v>20.535</v>
      </c>
      <c r="J191" s="422">
        <f>Data!I$80</f>
        <v>22.372</v>
      </c>
      <c r="K191" s="423">
        <f aca="true" t="shared" si="95" ref="K191:T191">J$191*(1+K$204)</f>
        <v>23.669478431217186</v>
      </c>
      <c r="L191" s="423">
        <f t="shared" si="95"/>
        <v>25.064611310286327</v>
      </c>
      <c r="M191" s="423">
        <f t="shared" si="95"/>
        <v>26.46882409404518</v>
      </c>
      <c r="N191" s="423">
        <f t="shared" si="95"/>
        <v>27.64126504588466</v>
      </c>
      <c r="O191" s="423">
        <f t="shared" si="95"/>
        <v>28.818839143230672</v>
      </c>
      <c r="P191" s="423">
        <f t="shared" si="95"/>
        <v>30.04002163553733</v>
      </c>
      <c r="Q191" s="423">
        <f t="shared" si="95"/>
        <v>31.307473577303906</v>
      </c>
      <c r="R191" s="423">
        <f t="shared" si="95"/>
        <v>32.616818186226624</v>
      </c>
      <c r="S191" s="423">
        <f t="shared" si="95"/>
        <v>33.98705198629254</v>
      </c>
      <c r="T191" s="423">
        <f t="shared" si="95"/>
        <v>35.41029736513382</v>
      </c>
    </row>
    <row r="192" spans="1:20" ht="12.75">
      <c r="A192" s="403" t="s">
        <v>401</v>
      </c>
      <c r="B192" s="395"/>
      <c r="C192" s="449"/>
      <c r="D192" s="417">
        <f>Data!C$79</f>
        <v>31.163</v>
      </c>
      <c r="E192" s="417">
        <f>Data!D$79</f>
        <v>33.192</v>
      </c>
      <c r="F192" s="422">
        <f>Data!E$79</f>
        <v>51.654</v>
      </c>
      <c r="G192" s="422">
        <f>Data!F$79</f>
        <v>58.076</v>
      </c>
      <c r="H192" s="422">
        <f>Data!G$79</f>
        <v>69.106</v>
      </c>
      <c r="I192" s="422">
        <f>Data!H$79</f>
        <v>76.885</v>
      </c>
      <c r="J192" s="422">
        <f>Data!I$79</f>
        <v>84.249</v>
      </c>
      <c r="K192" s="392">
        <f>J$192*K$194/J$194</f>
        <v>93.18620604146057</v>
      </c>
      <c r="L192" s="392">
        <f aca="true" t="shared" si="96" ref="L192:T192">K$192*L$194/K$194</f>
        <v>100.57906579298485</v>
      </c>
      <c r="M192" s="392">
        <f t="shared" si="96"/>
        <v>106.52336482694997</v>
      </c>
      <c r="N192" s="392">
        <f t="shared" si="96"/>
        <v>111.0478042787942</v>
      </c>
      <c r="O192" s="392">
        <f t="shared" si="96"/>
        <v>114.66704758766541</v>
      </c>
      <c r="P192" s="392">
        <f t="shared" si="96"/>
        <v>117.29424370323747</v>
      </c>
      <c r="Q192" s="392">
        <f t="shared" si="96"/>
        <v>118.76999588144982</v>
      </c>
      <c r="R192" s="392">
        <f t="shared" si="96"/>
        <v>120.96857803129971</v>
      </c>
      <c r="S192" s="392">
        <f t="shared" si="96"/>
        <v>121.72170069749917</v>
      </c>
      <c r="T192" s="392">
        <f t="shared" si="96"/>
        <v>120.79754625188832</v>
      </c>
    </row>
    <row r="193" spans="1:20" ht="12.75">
      <c r="A193" s="227" t="s">
        <v>465</v>
      </c>
      <c r="C193" s="449"/>
      <c r="D193" s="419">
        <f>D$194-D$192</f>
        <v>4.729000000000003</v>
      </c>
      <c r="E193" s="419">
        <f>E$194-E$192</f>
        <v>4.143999999999998</v>
      </c>
      <c r="F193" s="420">
        <f>F$194-F$192</f>
        <v>5.674999999999997</v>
      </c>
      <c r="G193" s="420">
        <f aca="true" t="shared" si="97" ref="G193:T193">G$194-G$192</f>
        <v>6.039999999999999</v>
      </c>
      <c r="H193" s="420">
        <f t="shared" si="97"/>
        <v>6.463999999999999</v>
      </c>
      <c r="I193" s="420">
        <f t="shared" si="97"/>
        <v>6.915999999999997</v>
      </c>
      <c r="J193" s="420">
        <f t="shared" si="97"/>
        <v>7.365000000000009</v>
      </c>
      <c r="K193" s="421">
        <f t="shared" si="97"/>
        <v>8.14628550481737</v>
      </c>
      <c r="L193" s="421">
        <f t="shared" si="97"/>
        <v>8.792565129144975</v>
      </c>
      <c r="M193" s="421">
        <f t="shared" si="97"/>
        <v>9.31221239362472</v>
      </c>
      <c r="N193" s="421">
        <f t="shared" si="97"/>
        <v>9.707736335307516</v>
      </c>
      <c r="O193" s="421">
        <f t="shared" si="97"/>
        <v>10.024128541385181</v>
      </c>
      <c r="P193" s="421">
        <f t="shared" si="97"/>
        <v>10.253796542087727</v>
      </c>
      <c r="Q193" s="421">
        <f t="shared" si="97"/>
        <v>10.38280596406939</v>
      </c>
      <c r="R193" s="421">
        <f t="shared" si="97"/>
        <v>10.575004773950141</v>
      </c>
      <c r="S193" s="421">
        <f t="shared" si="97"/>
        <v>10.640842332099893</v>
      </c>
      <c r="T193" s="421">
        <f t="shared" si="97"/>
        <v>10.560053272384948</v>
      </c>
    </row>
    <row r="194" spans="1:20" ht="12.75">
      <c r="A194" s="403" t="s">
        <v>466</v>
      </c>
      <c r="B194" s="395"/>
      <c r="C194" s="449"/>
      <c r="D194" s="417">
        <f>Data!C$82</f>
        <v>35.892</v>
      </c>
      <c r="E194" s="417">
        <f>Data!D$82</f>
        <v>37.336</v>
      </c>
      <c r="F194" s="422">
        <f>Data!E$82</f>
        <v>57.329</v>
      </c>
      <c r="G194" s="422">
        <f>Data!F$82</f>
        <v>64.116</v>
      </c>
      <c r="H194" s="422">
        <f>Data!G$82</f>
        <v>75.57</v>
      </c>
      <c r="I194" s="422">
        <f>Data!H$82</f>
        <v>83.801</v>
      </c>
      <c r="J194" s="422">
        <f>Data!I$82</f>
        <v>91.614</v>
      </c>
      <c r="K194" s="423">
        <f aca="true" t="shared" si="98" ref="K194:T194">J$194+(K$30-J$30)-(K$32-J$32)-K$22</f>
        <v>101.33249154627794</v>
      </c>
      <c r="L194" s="423">
        <f t="shared" si="98"/>
        <v>109.37163092212982</v>
      </c>
      <c r="M194" s="423">
        <f t="shared" si="98"/>
        <v>115.83557722057469</v>
      </c>
      <c r="N194" s="423">
        <f t="shared" si="98"/>
        <v>120.75554061410172</v>
      </c>
      <c r="O194" s="423">
        <f t="shared" si="98"/>
        <v>124.69117612905059</v>
      </c>
      <c r="P194" s="423">
        <f t="shared" si="98"/>
        <v>127.5480402453252</v>
      </c>
      <c r="Q194" s="423">
        <f t="shared" si="98"/>
        <v>129.1528018455192</v>
      </c>
      <c r="R194" s="423">
        <f t="shared" si="98"/>
        <v>131.54358280524986</v>
      </c>
      <c r="S194" s="423">
        <f t="shared" si="98"/>
        <v>132.36254302959907</v>
      </c>
      <c r="T194" s="423">
        <f t="shared" si="98"/>
        <v>131.35759952427327</v>
      </c>
    </row>
    <row r="195" spans="1:20" ht="12.75">
      <c r="A195" s="227" t="s">
        <v>746</v>
      </c>
      <c r="B195" s="395"/>
      <c r="C195" s="449"/>
      <c r="D195" s="419">
        <f>Data!C$83</f>
        <v>0.913</v>
      </c>
      <c r="E195" s="419">
        <f>Data!D$83</f>
        <v>0.409</v>
      </c>
      <c r="F195" s="420">
        <f>Data!E$83</f>
        <v>-0.528</v>
      </c>
      <c r="G195" s="420">
        <f>Data!F$83</f>
        <v>-0.559</v>
      </c>
      <c r="H195" s="420">
        <f>Data!G$83</f>
        <v>-0.559</v>
      </c>
      <c r="I195" s="420">
        <f>Data!H$83</f>
        <v>-0.56</v>
      </c>
      <c r="J195" s="420">
        <f>Data!I$83</f>
        <v>-0.561</v>
      </c>
      <c r="K195" s="421">
        <f aca="true" t="shared" si="99" ref="K195:T195">J$195*K$136/J$136</f>
        <v>-0.5986763875914894</v>
      </c>
      <c r="L195" s="421">
        <f t="shared" si="99"/>
        <v>-0.6388296209032434</v>
      </c>
      <c r="M195" s="421">
        <f t="shared" si="99"/>
        <v>-0.6816225277729119</v>
      </c>
      <c r="N195" s="421">
        <f t="shared" si="99"/>
        <v>-0.7272286403401924</v>
      </c>
      <c r="O195" s="421">
        <f t="shared" si="99"/>
        <v>-0.775832898747646</v>
      </c>
      <c r="P195" s="421">
        <f t="shared" si="99"/>
        <v>-0.8276324011028057</v>
      </c>
      <c r="Q195" s="421">
        <f t="shared" si="99"/>
        <v>-0.8828372027427935</v>
      </c>
      <c r="R195" s="421">
        <f t="shared" si="99"/>
        <v>-1.0281809105411368</v>
      </c>
      <c r="S195" s="421">
        <f t="shared" si="99"/>
        <v>-1.1795755460110178</v>
      </c>
      <c r="T195" s="421">
        <f t="shared" si="99"/>
        <v>-1.3371368672988988</v>
      </c>
    </row>
    <row r="196" spans="1:20" ht="12.75">
      <c r="A196" s="403" t="s">
        <v>467</v>
      </c>
      <c r="C196" s="449"/>
      <c r="D196" s="417">
        <f aca="true" t="shared" si="100" ref="D196:T196">SUM(D$194,D$195)</f>
        <v>36.805</v>
      </c>
      <c r="E196" s="417">
        <f t="shared" si="100"/>
        <v>37.745</v>
      </c>
      <c r="F196" s="422">
        <f t="shared" si="100"/>
        <v>56.801</v>
      </c>
      <c r="G196" s="422">
        <f t="shared" si="100"/>
        <v>63.557</v>
      </c>
      <c r="H196" s="422">
        <f t="shared" si="100"/>
        <v>75.011</v>
      </c>
      <c r="I196" s="422">
        <f t="shared" si="100"/>
        <v>83.241</v>
      </c>
      <c r="J196" s="422">
        <f t="shared" si="100"/>
        <v>91.053</v>
      </c>
      <c r="K196" s="423">
        <f t="shared" si="100"/>
        <v>100.73381515868644</v>
      </c>
      <c r="L196" s="423">
        <f t="shared" si="100"/>
        <v>108.73280130122659</v>
      </c>
      <c r="M196" s="423">
        <f t="shared" si="100"/>
        <v>115.15395469280178</v>
      </c>
      <c r="N196" s="423">
        <f t="shared" si="100"/>
        <v>120.02831197376153</v>
      </c>
      <c r="O196" s="423">
        <f t="shared" si="100"/>
        <v>123.91534323030294</v>
      </c>
      <c r="P196" s="423">
        <f t="shared" si="100"/>
        <v>126.7204078442224</v>
      </c>
      <c r="Q196" s="423">
        <f t="shared" si="100"/>
        <v>128.26996464277642</v>
      </c>
      <c r="R196" s="423">
        <f t="shared" si="100"/>
        <v>130.51540189470873</v>
      </c>
      <c r="S196" s="423">
        <f t="shared" si="100"/>
        <v>131.18296748358804</v>
      </c>
      <c r="T196" s="423">
        <f t="shared" si="100"/>
        <v>130.02046265697436</v>
      </c>
    </row>
    <row r="197" spans="1:20" ht="12.75">
      <c r="A197" s="418" t="s">
        <v>940</v>
      </c>
      <c r="B197" s="395"/>
      <c r="C197" s="449"/>
      <c r="D197" s="407">
        <f>SUM(Data!C$90,-Data!C$91)</f>
        <v>6.1579999999999995</v>
      </c>
      <c r="E197" s="407">
        <f>SUM(Data!D$90,-Data!D$91)</f>
        <v>6.355</v>
      </c>
      <c r="F197" s="408">
        <f>SUM(Data!E$90,-Data!E$91)</f>
        <v>12.584</v>
      </c>
      <c r="G197" s="408">
        <f>SUM(Data!F$90,-Data!F$91)</f>
        <v>12.584</v>
      </c>
      <c r="H197" s="408">
        <f>SUM(Data!G$90,-Data!G$91)</f>
        <v>12.584</v>
      </c>
      <c r="I197" s="408">
        <f>SUM(Data!H$90,-Data!H$91)</f>
        <v>12.584</v>
      </c>
      <c r="J197" s="408">
        <f>SUM(Data!I$90,-Data!I$91)</f>
        <v>12.584</v>
      </c>
      <c r="K197" s="392">
        <f>J$197</f>
        <v>12.584</v>
      </c>
      <c r="L197" s="392">
        <f aca="true" t="shared" si="101" ref="L197:T197">K$197</f>
        <v>12.584</v>
      </c>
      <c r="M197" s="392">
        <f t="shared" si="101"/>
        <v>12.584</v>
      </c>
      <c r="N197" s="392">
        <f t="shared" si="101"/>
        <v>12.584</v>
      </c>
      <c r="O197" s="392">
        <f t="shared" si="101"/>
        <v>12.584</v>
      </c>
      <c r="P197" s="392">
        <f t="shared" si="101"/>
        <v>12.584</v>
      </c>
      <c r="Q197" s="392">
        <f t="shared" si="101"/>
        <v>12.584</v>
      </c>
      <c r="R197" s="392">
        <f t="shared" si="101"/>
        <v>12.584</v>
      </c>
      <c r="S197" s="392">
        <f t="shared" si="101"/>
        <v>12.584</v>
      </c>
      <c r="T197" s="392">
        <f t="shared" si="101"/>
        <v>12.584</v>
      </c>
    </row>
    <row r="198" spans="1:20" ht="12.75">
      <c r="A198" s="418" t="s">
        <v>778</v>
      </c>
      <c r="C198" s="449"/>
      <c r="D198" s="450">
        <v>0</v>
      </c>
      <c r="E198" s="407">
        <f aca="true" t="shared" si="102" ref="E198:J198">D$198</f>
        <v>0</v>
      </c>
      <c r="F198" s="408">
        <f t="shared" si="102"/>
        <v>0</v>
      </c>
      <c r="G198" s="408">
        <f t="shared" si="102"/>
        <v>0</v>
      </c>
      <c r="H198" s="408">
        <f t="shared" si="102"/>
        <v>0</v>
      </c>
      <c r="I198" s="408">
        <f t="shared" si="102"/>
        <v>0</v>
      </c>
      <c r="J198" s="408">
        <f t="shared" si="102"/>
        <v>0</v>
      </c>
      <c r="K198" s="392">
        <f ca="1">IF(OFFSET(Scenarios!$A$41,0,$C$1)="Yes",MAX(MIN(OFFSET(Scenarios!$A$42,0,$C$1)-SUM($H$198:J$198),SUM(K$113,K$115,K$144,K$159,K$163,K$170)-SUM(J$113,J$115,J$144,J$159,J$170)-(K$32-J$32)-K$22+K$139-J$139),0),0)</f>
        <v>0</v>
      </c>
      <c r="L198" s="392">
        <f ca="1">IF(OFFSET(Scenarios!$A$41,0,$C$1)="Yes",MAX(MIN(OFFSET(Scenarios!$A$42,0,$C$1)-SUM($H$198:K$198),SUM(L$113,L$115,L$144,L$159,L$163,L$170)-SUM(K$113,K$115,K$144,K$159,K$170)-(L$32-K$32)-L$22+L$139-K$139),0),0)</f>
        <v>0</v>
      </c>
      <c r="M198" s="392">
        <f ca="1">IF(OFFSET(Scenarios!$A$41,0,$C$1)="Yes",MAX(MIN(OFFSET(Scenarios!$A$42,0,$C$1)-SUM($H$198:L$198),SUM(M$113,M$115,M$144,M$159,M$163,M$170)-SUM(L$113,L$115,L$144,L$159,L$170)-(M$32-L$32)-M$22+M$139-L$139),0),0)</f>
        <v>0</v>
      </c>
      <c r="N198" s="392">
        <f ca="1">IF(OFFSET(Scenarios!$A$41,0,$C$1)="Yes",MAX(MIN(OFFSET(Scenarios!$A$42,0,$C$1)-SUM($H$198:M$198),SUM(N$113,N$115,N$144,N$159,N$163,N$170)-SUM(M$113,M$115,M$144,M$159,M$170)-(N$32-M$32)-N$22+N$139-M$139),0),0)</f>
        <v>0</v>
      </c>
      <c r="O198" s="392">
        <f ca="1">IF(OFFSET(Scenarios!$A$41,0,$C$1)="Yes",MAX(MIN(OFFSET(Scenarios!$A$42,0,$C$1)-SUM($H$198:N$198),SUM(O$113,O$115,O$144,O$159,O$163,O$170)-SUM(N$113,N$115,N$144,N$159,N$170)-(O$32-N$32)-O$22+O$139-N$139),0),0)</f>
        <v>0</v>
      </c>
      <c r="P198" s="392">
        <f ca="1">IF(OFFSET(Scenarios!$A$41,0,$C$1)="Yes",MAX(MIN(OFFSET(Scenarios!$A$42,0,$C$1)-SUM($H$198:O$198),SUM(P$113,P$115,P$144,P$159,P$163,P$170)-SUM(O$113,O$115,O$144,O$159,O$170)-(P$32-O$32)-P$22+P$139-O$139),0),0)</f>
        <v>0</v>
      </c>
      <c r="Q198" s="392">
        <f ca="1">IF(OFFSET(Scenarios!$A$41,0,$C$1)="Yes",MAX(MIN(OFFSET(Scenarios!$A$42,0,$C$1)-SUM($H$198:P$198),SUM(Q$113,Q$115,Q$144,Q$159,Q$163,Q$170)-SUM(P$113,P$115,P$144,P$159,P$170)-(Q$32-P$32)-Q$22+Q$139-P$139),0),0)</f>
        <v>0</v>
      </c>
      <c r="R198" s="392">
        <f ca="1">IF(OFFSET(Scenarios!$A$41,0,$C$1)="Yes",MAX(MIN(OFFSET(Scenarios!$A$42,0,$C$1)-SUM($H$198:Q$198),SUM(R$113,R$115,R$144,R$159,R$163,R$170)-SUM(Q$113,Q$115,Q$144,Q$159,Q$170)-(R$32-Q$32)-R$22+R$139-Q$139),0),0)</f>
        <v>0</v>
      </c>
      <c r="S198" s="392">
        <f ca="1">IF(OFFSET(Scenarios!$A$41,0,$C$1)="Yes",MAX(MIN(OFFSET(Scenarios!$A$42,0,$C$1)-SUM($H$198:R$198),SUM(S$113,S$115,S$144,S$159,S$163,S$170)-SUM(R$113,R$115,R$144,R$159,R$170)-(S$32-R$32)-S$22+S$139-R$139),0),0)</f>
        <v>0</v>
      </c>
      <c r="T198" s="392">
        <f ca="1">IF(OFFSET(Scenarios!$A$41,0,$C$1)="Yes",MAX(MIN(OFFSET(Scenarios!$A$42,0,$C$1)-SUM($H$198:S$198),SUM(T$113,T$115,T$144,T$159,T$163,T$170)-SUM(S$113,S$115,S$144,S$159,S$170)-(T$32-S$32)-T$22+T$139-S$139),0),0)</f>
        <v>0</v>
      </c>
    </row>
    <row r="199" spans="1:20" ht="12.75">
      <c r="A199" s="418"/>
      <c r="C199" s="449"/>
      <c r="D199" s="405"/>
      <c r="E199" s="405"/>
      <c r="F199" s="405"/>
      <c r="G199" s="405"/>
      <c r="H199" s="405"/>
      <c r="I199" s="405"/>
      <c r="J199" s="405"/>
      <c r="K199" s="451"/>
      <c r="L199" s="451"/>
      <c r="M199" s="451"/>
      <c r="N199" s="451"/>
      <c r="O199" s="451"/>
      <c r="P199" s="451"/>
      <c r="Q199" s="451"/>
      <c r="R199" s="451"/>
      <c r="S199" s="451"/>
      <c r="T199" s="451"/>
    </row>
    <row r="200" spans="1:20" ht="15.75">
      <c r="A200" s="404" t="s">
        <v>452</v>
      </c>
      <c r="D200" s="405"/>
      <c r="E200" s="405"/>
      <c r="F200" s="393"/>
      <c r="G200" s="393"/>
      <c r="H200" s="393"/>
      <c r="I200" s="393"/>
      <c r="J200" s="393"/>
      <c r="K200" s="393"/>
      <c r="L200" s="393"/>
      <c r="M200" s="393"/>
      <c r="N200" s="393"/>
      <c r="O200" s="164"/>
      <c r="P200" s="164"/>
      <c r="Q200" s="164"/>
      <c r="R200" s="164"/>
      <c r="S200" s="164"/>
      <c r="T200" s="164"/>
    </row>
    <row r="201" spans="1:20" ht="12.75">
      <c r="A201" s="403" t="s">
        <v>165</v>
      </c>
      <c r="B201" s="395"/>
      <c r="D201" s="407">
        <f>Data!C$199</f>
        <v>132.508</v>
      </c>
      <c r="E201" s="407">
        <f>Data!D$199</f>
        <v>135.862</v>
      </c>
      <c r="F201" s="408">
        <f>Data!E$199</f>
        <v>133.32245208754475</v>
      </c>
      <c r="G201" s="408">
        <f>Data!F$199</f>
        <v>132.30517142968054</v>
      </c>
      <c r="H201" s="408">
        <f>Data!G$199</f>
        <v>135.11712506529886</v>
      </c>
      <c r="I201" s="408">
        <f>Data!H$199</f>
        <v>139.63046796429018</v>
      </c>
      <c r="J201" s="408">
        <f>Data!I$199</f>
        <v>145.2091180405893</v>
      </c>
      <c r="K201" s="392">
        <f aca="true" t="shared" si="103" ref="K201:T201">J$201*(1+K$218)*(K$210*(1-K$213)*K$216)/(J$210*(1-J$213)*J$216)</f>
        <v>150.758373320927</v>
      </c>
      <c r="L201" s="392">
        <f t="shared" si="103"/>
        <v>156.5141320030776</v>
      </c>
      <c r="M201" s="392">
        <f t="shared" si="103"/>
        <v>162.04180002120364</v>
      </c>
      <c r="N201" s="392">
        <f t="shared" si="103"/>
        <v>165.90143962750707</v>
      </c>
      <c r="O201" s="392">
        <f t="shared" si="103"/>
        <v>169.57762578773074</v>
      </c>
      <c r="P201" s="392">
        <f t="shared" si="103"/>
        <v>173.2974358948062</v>
      </c>
      <c r="Q201" s="392">
        <f t="shared" si="103"/>
        <v>177.06786336236743</v>
      </c>
      <c r="R201" s="392">
        <f t="shared" si="103"/>
        <v>180.85609318676865</v>
      </c>
      <c r="S201" s="392">
        <f t="shared" si="103"/>
        <v>184.75869087528403</v>
      </c>
      <c r="T201" s="392">
        <f t="shared" si="103"/>
        <v>188.72124051902986</v>
      </c>
    </row>
    <row r="202" spans="1:20" ht="12.75">
      <c r="A202" s="228" t="s">
        <v>146</v>
      </c>
      <c r="D202" s="163"/>
      <c r="E202" s="163">
        <f aca="true" t="shared" si="104" ref="E202:T202">E$201/D$201-1</f>
        <v>0.02531167929483491</v>
      </c>
      <c r="F202" s="167">
        <f t="shared" si="104"/>
        <v>-0.018692113412545397</v>
      </c>
      <c r="G202" s="167">
        <f t="shared" si="104"/>
        <v>-0.007630227631848729</v>
      </c>
      <c r="H202" s="167">
        <f t="shared" si="104"/>
        <v>0.02125354289052006</v>
      </c>
      <c r="I202" s="167">
        <f t="shared" si="104"/>
        <v>0.0334031892464417</v>
      </c>
      <c r="J202" s="167">
        <f t="shared" si="104"/>
        <v>0.0399529569558259</v>
      </c>
      <c r="K202" s="164">
        <f t="shared" si="104"/>
        <v>0.0382156117688599</v>
      </c>
      <c r="L202" s="164">
        <f t="shared" si="104"/>
        <v>0.03817869983180322</v>
      </c>
      <c r="M202" s="164">
        <f t="shared" si="104"/>
        <v>0.03531737324535866</v>
      </c>
      <c r="N202" s="164">
        <f t="shared" si="104"/>
        <v>0.023818790002322787</v>
      </c>
      <c r="O202" s="164">
        <f t="shared" si="104"/>
        <v>0.0221588562973154</v>
      </c>
      <c r="P202" s="164">
        <f t="shared" si="104"/>
        <v>0.021935736449876675</v>
      </c>
      <c r="Q202" s="164">
        <f t="shared" si="104"/>
        <v>0.021756972041120815</v>
      </c>
      <c r="R202" s="164">
        <f t="shared" si="104"/>
        <v>0.02139422565148741</v>
      </c>
      <c r="S202" s="164">
        <f t="shared" si="104"/>
        <v>0.021578469487810947</v>
      </c>
      <c r="T202" s="164">
        <f t="shared" si="104"/>
        <v>0.021447162376900808</v>
      </c>
    </row>
    <row r="203" spans="1:20" ht="12.75">
      <c r="A203" s="403" t="s">
        <v>129</v>
      </c>
      <c r="B203" s="395"/>
      <c r="D203" s="407">
        <f>Data!C$200</f>
        <v>169.135</v>
      </c>
      <c r="E203" s="407">
        <f>Data!D$200</f>
        <v>179.227</v>
      </c>
      <c r="F203" s="408">
        <f>Data!E$200</f>
        <v>178.52340823084847</v>
      </c>
      <c r="G203" s="408">
        <f>Data!F$200</f>
        <v>175.05111271510674</v>
      </c>
      <c r="H203" s="408">
        <f>Data!G$200</f>
        <v>182.71683543145713</v>
      </c>
      <c r="I203" s="408">
        <f>Data!H$200</f>
        <v>191.52822151109365</v>
      </c>
      <c r="J203" s="408">
        <f>Data!I$200</f>
        <v>202.52444670884748</v>
      </c>
      <c r="K203" s="392">
        <f aca="true" t="shared" si="105" ref="K203:S203">J$203*(K$201/J$201)*(1+K$206)</f>
        <v>214.2699813681951</v>
      </c>
      <c r="L203" s="392">
        <f t="shared" si="105"/>
        <v>226.89954128321384</v>
      </c>
      <c r="M203" s="392">
        <f t="shared" si="105"/>
        <v>239.61129781335205</v>
      </c>
      <c r="N203" s="392">
        <f t="shared" si="105"/>
        <v>250.22491997811537</v>
      </c>
      <c r="O203" s="392">
        <f t="shared" si="105"/>
        <v>260.88501038235603</v>
      </c>
      <c r="P203" s="392">
        <f t="shared" si="105"/>
        <v>271.93986951810325</v>
      </c>
      <c r="Q203" s="392">
        <f t="shared" si="105"/>
        <v>283.41358680919615</v>
      </c>
      <c r="R203" s="392">
        <f t="shared" si="105"/>
        <v>295.2665410588513</v>
      </c>
      <c r="S203" s="392">
        <f t="shared" si="105"/>
        <v>307.67069992797843</v>
      </c>
      <c r="T203" s="392">
        <f>S$203*(T$201/S$201)*(1+T$206)</f>
        <v>320.55475065570744</v>
      </c>
    </row>
    <row r="204" spans="1:20" ht="12.75">
      <c r="A204" s="228" t="s">
        <v>146</v>
      </c>
      <c r="D204" s="163"/>
      <c r="E204" s="163">
        <f aca="true" t="shared" si="106" ref="E204:T204">E$203/D$203-1</f>
        <v>0.05966831229491243</v>
      </c>
      <c r="F204" s="167">
        <f t="shared" si="106"/>
        <v>-0.00392570187054142</v>
      </c>
      <c r="G204" s="167">
        <f t="shared" si="106"/>
        <v>-0.01945008528658443</v>
      </c>
      <c r="H204" s="167">
        <f t="shared" si="106"/>
        <v>0.0437913395547862</v>
      </c>
      <c r="I204" s="167">
        <f t="shared" si="106"/>
        <v>0.04822427040633559</v>
      </c>
      <c r="J204" s="167">
        <f t="shared" si="106"/>
        <v>0.05741308049016114</v>
      </c>
      <c r="K204" s="164">
        <f t="shared" si="106"/>
        <v>0.05799563879926639</v>
      </c>
      <c r="L204" s="164">
        <f t="shared" si="106"/>
        <v>0.05894227382843931</v>
      </c>
      <c r="M204" s="164">
        <f t="shared" si="106"/>
        <v>0.056023720710265845</v>
      </c>
      <c r="N204" s="164">
        <f t="shared" si="106"/>
        <v>0.04429516580236936</v>
      </c>
      <c r="O204" s="164">
        <f t="shared" si="106"/>
        <v>0.04260203342326174</v>
      </c>
      <c r="P204" s="164">
        <f t="shared" si="106"/>
        <v>0.04237445117887417</v>
      </c>
      <c r="Q204" s="164">
        <f t="shared" si="106"/>
        <v>0.04219211148194324</v>
      </c>
      <c r="R204" s="164">
        <f t="shared" si="106"/>
        <v>0.04182211016451731</v>
      </c>
      <c r="S204" s="164">
        <f t="shared" si="106"/>
        <v>0.042010038877567046</v>
      </c>
      <c r="T204" s="164">
        <f t="shared" si="106"/>
        <v>0.041876105624438775</v>
      </c>
    </row>
    <row r="205" spans="1:20" ht="12.75">
      <c r="A205" s="403" t="s">
        <v>130</v>
      </c>
      <c r="B205" s="395"/>
      <c r="D205" s="452">
        <f>Data!C$201</f>
        <v>1020</v>
      </c>
      <c r="E205" s="452">
        <f>Data!D$201</f>
        <v>1061</v>
      </c>
      <c r="F205" s="453">
        <f>Data!E$201</f>
        <v>1080.9</v>
      </c>
      <c r="G205" s="453">
        <f>Data!F$201</f>
        <v>1108.1460000000002</v>
      </c>
      <c r="H205" s="453">
        <f>Data!G$201</f>
        <v>1122.571</v>
      </c>
      <c r="I205" s="453">
        <f>Data!H$201</f>
        <v>1136.234</v>
      </c>
      <c r="J205" s="453">
        <f>Data!I$201</f>
        <v>1155.6090000000002</v>
      </c>
      <c r="K205" s="454">
        <f>J$205*(1+K$206)</f>
        <v>1177.625599439915</v>
      </c>
      <c r="L205" s="454">
        <f aca="true" t="shared" si="107" ref="L205:T205">K$205*(1+L$206)</f>
        <v>1201.1781114287135</v>
      </c>
      <c r="M205" s="454">
        <f t="shared" si="107"/>
        <v>1225.2016736572878</v>
      </c>
      <c r="N205" s="454">
        <f t="shared" si="107"/>
        <v>1249.7057071304334</v>
      </c>
      <c r="O205" s="454">
        <f t="shared" si="107"/>
        <v>1274.699821273042</v>
      </c>
      <c r="P205" s="454">
        <f t="shared" si="107"/>
        <v>1300.193817698503</v>
      </c>
      <c r="Q205" s="454">
        <f t="shared" si="107"/>
        <v>1326.197694052473</v>
      </c>
      <c r="R205" s="454">
        <f t="shared" si="107"/>
        <v>1352.7216479335225</v>
      </c>
      <c r="S205" s="454">
        <f t="shared" si="107"/>
        <v>1379.776080892193</v>
      </c>
      <c r="T205" s="454">
        <f t="shared" si="107"/>
        <v>1407.3716025100368</v>
      </c>
    </row>
    <row r="206" spans="1:20" ht="12.75">
      <c r="A206" s="228" t="s">
        <v>146</v>
      </c>
      <c r="D206" s="163"/>
      <c r="E206" s="163">
        <f aca="true" t="shared" si="108" ref="E206:J206">E$205/D$205-1</f>
        <v>0.04019607843137263</v>
      </c>
      <c r="F206" s="167">
        <f t="shared" si="108"/>
        <v>0.018755890669180042</v>
      </c>
      <c r="G206" s="167">
        <f t="shared" si="108"/>
        <v>0.025206772134332533</v>
      </c>
      <c r="H206" s="167">
        <f t="shared" si="108"/>
        <v>0.01301723780079489</v>
      </c>
      <c r="I206" s="167">
        <f t="shared" si="108"/>
        <v>0.012171167792504933</v>
      </c>
      <c r="J206" s="167">
        <f t="shared" si="108"/>
        <v>0.017051945285918357</v>
      </c>
      <c r="K206" s="164">
        <f ca="1">IF(J$206&lt;OFFSET(Scenarios!$A$7,0,$C$1),MIN(J$206+OFFSET(Scenarios!$A$14,0,$C$1),OFFSET(Scenarios!$A$7,0,$C$1)),MAX(J$206-OFFSET(Scenarios!$A$14,0,$C$1),OFFSET(Scenarios!$A$7,0,$C$1)))</f>
        <v>0.01905194528591836</v>
      </c>
      <c r="L206" s="164">
        <f ca="1">IF(K$206&lt;OFFSET(Scenarios!$A$7,0,$C$1),MIN(K$206+OFFSET(Scenarios!$A$14,0,$C$1),OFFSET(Scenarios!$A$7,0,$C$1)),MAX(K$206-OFFSET(Scenarios!$A$14,0,$C$1),OFFSET(Scenarios!$A$7,0,$C$1)))</f>
        <v>0.02</v>
      </c>
      <c r="M206" s="164">
        <f ca="1">IF(L$206&lt;OFFSET(Scenarios!$A$7,0,$C$1),MIN(L$206+OFFSET(Scenarios!$A$14,0,$C$1),OFFSET(Scenarios!$A$7,0,$C$1)),MAX(L$206-OFFSET(Scenarios!$A$14,0,$C$1),OFFSET(Scenarios!$A$7,0,$C$1)))</f>
        <v>0.02</v>
      </c>
      <c r="N206" s="164">
        <f ca="1">IF(M$206&lt;OFFSET(Scenarios!$A$7,0,$C$1),MIN(M$206+OFFSET(Scenarios!$A$14,0,$C$1),OFFSET(Scenarios!$A$7,0,$C$1)),MAX(M$206-OFFSET(Scenarios!$A$14,0,$C$1),OFFSET(Scenarios!$A$7,0,$C$1)))</f>
        <v>0.02</v>
      </c>
      <c r="O206" s="164">
        <f ca="1">IF(N$206&lt;OFFSET(Scenarios!$A$7,0,$C$1),MIN(N$206+OFFSET(Scenarios!$A$14,0,$C$1),OFFSET(Scenarios!$A$7,0,$C$1)),MAX(N$206-OFFSET(Scenarios!$A$14,0,$C$1),OFFSET(Scenarios!$A$7,0,$C$1)))</f>
        <v>0.02</v>
      </c>
      <c r="P206" s="164">
        <f ca="1">IF(O$206&lt;OFFSET(Scenarios!$A$7,0,$C$1),MIN(O$206+OFFSET(Scenarios!$A$14,0,$C$1),OFFSET(Scenarios!$A$7,0,$C$1)),MAX(O$206-OFFSET(Scenarios!$A$14,0,$C$1),OFFSET(Scenarios!$A$7,0,$C$1)))</f>
        <v>0.02</v>
      </c>
      <c r="Q206" s="164">
        <f ca="1">IF(P$206&lt;OFFSET(Scenarios!$A$7,0,$C$1),MIN(P$206+OFFSET(Scenarios!$A$14,0,$C$1),OFFSET(Scenarios!$A$7,0,$C$1)),MAX(P$206-OFFSET(Scenarios!$A$14,0,$C$1),OFFSET(Scenarios!$A$7,0,$C$1)))</f>
        <v>0.02</v>
      </c>
      <c r="R206" s="164">
        <f ca="1">IF(Q$206&lt;OFFSET(Scenarios!$A$7,0,$C$1),MIN(Q$206+OFFSET(Scenarios!$A$14,0,$C$1),OFFSET(Scenarios!$A$7,0,$C$1)),MAX(Q$206-OFFSET(Scenarios!$A$14,0,$C$1),OFFSET(Scenarios!$A$7,0,$C$1)))</f>
        <v>0.02</v>
      </c>
      <c r="S206" s="164">
        <f ca="1">IF(R$206&lt;OFFSET(Scenarios!$A$7,0,$C$1),MIN(R$206+OFFSET(Scenarios!$A$14,0,$C$1),OFFSET(Scenarios!$A$7,0,$C$1)),MAX(R$206-OFFSET(Scenarios!$A$14,0,$C$1),OFFSET(Scenarios!$A$7,0,$C$1)))</f>
        <v>0.02</v>
      </c>
      <c r="T206" s="164">
        <f ca="1">IF(S$206&lt;OFFSET(Scenarios!$A$7,0,$C$1),MIN(S$206+OFFSET(Scenarios!$A$14,0,$C$1),OFFSET(Scenarios!$A$7,0,$C$1)),MAX(S$206-OFFSET(Scenarios!$A$14,0,$C$1),OFFSET(Scenarios!$A$7,0,$C$1)))</f>
        <v>0.02</v>
      </c>
    </row>
    <row r="207" spans="1:20" ht="12.75">
      <c r="A207" s="46" t="s">
        <v>836</v>
      </c>
      <c r="B207" s="333"/>
      <c r="C207" s="97"/>
      <c r="D207" s="163">
        <f>Data!C$208</f>
        <v>0.0641</v>
      </c>
      <c r="E207" s="163">
        <f>Data!D$208</f>
        <v>0.0687</v>
      </c>
      <c r="F207" s="167">
        <f>Data!E$208</f>
        <v>0.0492</v>
      </c>
      <c r="G207" s="167">
        <f>Data!F$208</f>
        <v>0.0443</v>
      </c>
      <c r="H207" s="167">
        <f>Data!G$208</f>
        <v>0.0466</v>
      </c>
      <c r="I207" s="167">
        <f>Data!H$208</f>
        <v>0.0515</v>
      </c>
      <c r="J207" s="167">
        <f>Data!I$208</f>
        <v>0.0562</v>
      </c>
      <c r="K207" s="164">
        <f ca="1">IF(J$207&lt;OFFSET(Scenarios!$A$8,0,$C$1),MIN(J$207+OFFSET(Scenarios!$A$15,0,$C$1),OFFSET(Scenarios!$A$8,0,$C$1)),MAX(J$207-OFFSET(Scenarios!$A$15,0,$C$1),OFFSET(Scenarios!$A$8,0,$C$1)))</f>
        <v>0.0572</v>
      </c>
      <c r="L207" s="164">
        <f ca="1">IF(K$207&lt;OFFSET(Scenarios!$A$8,0,$C$1),MIN(K$207+OFFSET(Scenarios!$A$15,0,$C$1),OFFSET(Scenarios!$A$8,0,$C$1)),MAX(K$207-OFFSET(Scenarios!$A$15,0,$C$1),OFFSET(Scenarios!$A$8,0,$C$1)))</f>
        <v>0.0582</v>
      </c>
      <c r="M207" s="164">
        <f ca="1">IF(L$207&lt;OFFSET(Scenarios!$A$8,0,$C$1),MIN(L$207+OFFSET(Scenarios!$A$15,0,$C$1),OFFSET(Scenarios!$A$8,0,$C$1)),MAX(L$207-OFFSET(Scenarios!$A$15,0,$C$1),OFFSET(Scenarios!$A$8,0,$C$1)))</f>
        <v>0.0592</v>
      </c>
      <c r="N207" s="164">
        <f ca="1">IF(M$207&lt;OFFSET(Scenarios!$A$8,0,$C$1),MIN(M$207+OFFSET(Scenarios!$A$15,0,$C$1),OFFSET(Scenarios!$A$8,0,$C$1)),MAX(M$207-OFFSET(Scenarios!$A$15,0,$C$1),OFFSET(Scenarios!$A$8,0,$C$1)))</f>
        <v>0.06</v>
      </c>
      <c r="O207" s="164">
        <f ca="1">IF(N$207&lt;OFFSET(Scenarios!$A$8,0,$C$1),MIN(N$207+OFFSET(Scenarios!$A$15,0,$C$1),OFFSET(Scenarios!$A$8,0,$C$1)),MAX(N$207-OFFSET(Scenarios!$A$15,0,$C$1),OFFSET(Scenarios!$A$8,0,$C$1)))</f>
        <v>0.06</v>
      </c>
      <c r="P207" s="164">
        <f ca="1">IF(O$207&lt;OFFSET(Scenarios!$A$8,0,$C$1),MIN(O$207+OFFSET(Scenarios!$A$15,0,$C$1),OFFSET(Scenarios!$A$8,0,$C$1)),MAX(O$207-OFFSET(Scenarios!$A$15,0,$C$1),OFFSET(Scenarios!$A$8,0,$C$1)))</f>
        <v>0.06</v>
      </c>
      <c r="Q207" s="164">
        <f ca="1">IF(P$207&lt;OFFSET(Scenarios!$A$8,0,$C$1),MIN(P$207+OFFSET(Scenarios!$A$15,0,$C$1),OFFSET(Scenarios!$A$8,0,$C$1)),MAX(P$207-OFFSET(Scenarios!$A$15,0,$C$1),OFFSET(Scenarios!$A$8,0,$C$1)))</f>
        <v>0.06</v>
      </c>
      <c r="R207" s="164">
        <f ca="1">IF(Q$207&lt;OFFSET(Scenarios!$A$8,0,$C$1),MIN(Q$207+OFFSET(Scenarios!$A$15,0,$C$1),OFFSET(Scenarios!$A$8,0,$C$1)),MAX(Q$207-OFFSET(Scenarios!$A$15,0,$C$1),OFFSET(Scenarios!$A$8,0,$C$1)))</f>
        <v>0.06</v>
      </c>
      <c r="S207" s="164">
        <f ca="1">IF(R$207&lt;OFFSET(Scenarios!$A$8,0,$C$1),MIN(R$207+OFFSET(Scenarios!$A$15,0,$C$1),OFFSET(Scenarios!$A$8,0,$C$1)),MAX(R$207-OFFSET(Scenarios!$A$15,0,$C$1),OFFSET(Scenarios!$A$8,0,$C$1)))</f>
        <v>0.06</v>
      </c>
      <c r="T207" s="164">
        <f ca="1">IF(S$207&lt;OFFSET(Scenarios!$A$8,0,$C$1),MIN(S$207+OFFSET(Scenarios!$A$15,0,$C$1),OFFSET(Scenarios!$A$8,0,$C$1)),MAX(S$207-OFFSET(Scenarios!$A$15,0,$C$1),OFFSET(Scenarios!$A$8,0,$C$1)))</f>
        <v>0.06</v>
      </c>
    </row>
    <row r="208" spans="1:20" ht="12.75">
      <c r="A208" s="403" t="s">
        <v>221</v>
      </c>
      <c r="D208" s="407">
        <f>SUM(Popn!D$24:D$99,Popn!D$118:D$193)/1000000</f>
        <v>3.33985</v>
      </c>
      <c r="E208" s="407">
        <f>SUM(Popn!E$24:E$99,Popn!E$118:E$193)/1000000</f>
        <v>3.3793</v>
      </c>
      <c r="F208" s="408">
        <f>SUM(Popn!F$24:F$99,Popn!F$118:F$193)/1000000</f>
        <v>3.42002</v>
      </c>
      <c r="G208" s="408">
        <f>SUM(Popn!G$24:G$99,Popn!G$118:G$193)/1000000</f>
        <v>3.46468</v>
      </c>
      <c r="H208" s="408">
        <f>SUM(Popn!H$24:H$99,Popn!H$118:H$193)/1000000</f>
        <v>3.50376</v>
      </c>
      <c r="I208" s="408">
        <f>SUM(Popn!I$24:I$99,Popn!I$118:I$193)/1000000</f>
        <v>3.54101</v>
      </c>
      <c r="J208" s="408">
        <f>SUM(Popn!J$24:J$99,Popn!J$118:J$193)/1000000</f>
        <v>3.57796</v>
      </c>
      <c r="K208" s="392">
        <f>SUM(Popn!K$24:K$99,Popn!K$118:K$193)/1000000</f>
        <v>3.61369</v>
      </c>
      <c r="L208" s="392">
        <f>SUM(Popn!L$24:L$99,Popn!L$118:L$193)/1000000</f>
        <v>3.651</v>
      </c>
      <c r="M208" s="392">
        <f>SUM(Popn!M$24:M$99,Popn!M$118:M$193)/1000000</f>
        <v>3.68684</v>
      </c>
      <c r="N208" s="392">
        <f>SUM(Popn!N$24:N$99,Popn!N$118:N$193)/1000000</f>
        <v>3.72013</v>
      </c>
      <c r="O208" s="392">
        <f>SUM(Popn!O$24:O$99,Popn!O$118:O$193)/1000000</f>
        <v>3.75366</v>
      </c>
      <c r="P208" s="392">
        <f>SUM(Popn!P$24:P$99,Popn!P$118:P$193)/1000000</f>
        <v>3.78835</v>
      </c>
      <c r="Q208" s="392">
        <f>SUM(Popn!Q$24:Q$99,Popn!Q$118:Q$193)/1000000</f>
        <v>3.82239</v>
      </c>
      <c r="R208" s="392">
        <f>SUM(Popn!R$24:R$99,Popn!R$118:R$193)/1000000</f>
        <v>3.85739</v>
      </c>
      <c r="S208" s="392">
        <f>SUM(Popn!S$24:S$99,Popn!S$118:S$193)/1000000</f>
        <v>3.89493</v>
      </c>
      <c r="T208" s="392">
        <f>SUM(Popn!T$24:T$99,Popn!T$118:T$193)/1000000</f>
        <v>3.93425</v>
      </c>
    </row>
    <row r="209" spans="1:20" ht="12.75">
      <c r="A209" s="228" t="s">
        <v>146</v>
      </c>
      <c r="D209" s="163"/>
      <c r="E209" s="163">
        <f aca="true" t="shared" si="109" ref="E209:T209">E$208/D$208-1</f>
        <v>0.011811907720406634</v>
      </c>
      <c r="F209" s="167">
        <f t="shared" si="109"/>
        <v>0.012049832805610672</v>
      </c>
      <c r="G209" s="167">
        <f t="shared" si="109"/>
        <v>0.013058403167232946</v>
      </c>
      <c r="H209" s="167">
        <f t="shared" si="109"/>
        <v>0.011279540967708446</v>
      </c>
      <c r="I209" s="167">
        <f t="shared" si="109"/>
        <v>0.010631435943101009</v>
      </c>
      <c r="J209" s="167">
        <f t="shared" si="109"/>
        <v>0.010434875925230402</v>
      </c>
      <c r="K209" s="164">
        <f t="shared" si="109"/>
        <v>0.009986137352010704</v>
      </c>
      <c r="L209" s="164">
        <f t="shared" si="109"/>
        <v>0.010324626628183342</v>
      </c>
      <c r="M209" s="164">
        <f t="shared" si="109"/>
        <v>0.009816488633251241</v>
      </c>
      <c r="N209" s="164">
        <f t="shared" si="109"/>
        <v>0.009029412722005858</v>
      </c>
      <c r="O209" s="164">
        <f t="shared" si="109"/>
        <v>0.009013125885385609</v>
      </c>
      <c r="P209" s="164">
        <f t="shared" si="109"/>
        <v>0.009241646819371008</v>
      </c>
      <c r="Q209" s="164">
        <f t="shared" si="109"/>
        <v>0.008985442210988959</v>
      </c>
      <c r="R209" s="164">
        <f t="shared" si="109"/>
        <v>0.009156574813140583</v>
      </c>
      <c r="S209" s="164">
        <f t="shared" si="109"/>
        <v>0.009731969025688292</v>
      </c>
      <c r="T209" s="164">
        <f t="shared" si="109"/>
        <v>0.010095175009563695</v>
      </c>
    </row>
    <row r="210" spans="1:20" ht="12.75">
      <c r="A210" s="403" t="s">
        <v>222</v>
      </c>
      <c r="B210" s="395"/>
      <c r="D210" s="407">
        <f>Data!C$202</f>
        <v>2.2168</v>
      </c>
      <c r="E210" s="407">
        <f>Data!D$202</f>
        <v>2.2395</v>
      </c>
      <c r="F210" s="408">
        <f>Data!E$202</f>
        <v>2.2745</v>
      </c>
      <c r="G210" s="408">
        <f>Data!F$202</f>
        <v>2.2423</v>
      </c>
      <c r="H210" s="408">
        <f>Data!G$202</f>
        <v>2.2263</v>
      </c>
      <c r="I210" s="408">
        <f>Data!H$202</f>
        <v>2.2476</v>
      </c>
      <c r="J210" s="408">
        <f>Data!I$202</f>
        <v>2.296</v>
      </c>
      <c r="K210" s="392">
        <f>Popn!K$259</f>
        <v>2.3423376062957533</v>
      </c>
      <c r="L210" s="392">
        <f>Popn!L$259</f>
        <v>2.3900575407283546</v>
      </c>
      <c r="M210" s="392">
        <f>Popn!M$259</f>
        <v>2.437899600957776</v>
      </c>
      <c r="N210" s="392">
        <f>Popn!N$259</f>
        <v>2.4590812015760943</v>
      </c>
      <c r="O210" s="392">
        <f>Popn!O$259</f>
        <v>2.4764252497982744</v>
      </c>
      <c r="P210" s="392">
        <f>Popn!P$259</f>
        <v>2.493347252626275</v>
      </c>
      <c r="Q210" s="392">
        <f>Popn!Q$259</f>
        <v>2.509945752798494</v>
      </c>
      <c r="R210" s="392">
        <f>Popn!R$259</f>
        <v>2.5257577326175933</v>
      </c>
      <c r="S210" s="392">
        <f>Popn!S$259</f>
        <v>2.542127801758113</v>
      </c>
      <c r="T210" s="392">
        <f>Popn!T$259</f>
        <v>2.55827510296084</v>
      </c>
    </row>
    <row r="211" spans="1:20" ht="12.75">
      <c r="A211" s="228" t="s">
        <v>146</v>
      </c>
      <c r="D211" s="163"/>
      <c r="E211" s="163">
        <f aca="true" t="shared" si="110" ref="E211:T211">E$210/D$210-1</f>
        <v>0.01023998556477812</v>
      </c>
      <c r="F211" s="167">
        <f t="shared" si="110"/>
        <v>0.015628488501897797</v>
      </c>
      <c r="G211" s="167">
        <f t="shared" si="110"/>
        <v>-0.014156957573092988</v>
      </c>
      <c r="H211" s="167">
        <f t="shared" si="110"/>
        <v>-0.0071355304820942544</v>
      </c>
      <c r="I211" s="167">
        <f t="shared" si="110"/>
        <v>0.009567443740735593</v>
      </c>
      <c r="J211" s="167">
        <f t="shared" si="110"/>
        <v>0.021534080797294797</v>
      </c>
      <c r="K211" s="164">
        <f t="shared" si="110"/>
        <v>0.020181884275153994</v>
      </c>
      <c r="L211" s="164">
        <f t="shared" si="110"/>
        <v>0.02037278243082441</v>
      </c>
      <c r="M211" s="164">
        <f t="shared" si="110"/>
        <v>0.02001711649789062</v>
      </c>
      <c r="N211" s="164">
        <f t="shared" si="110"/>
        <v>0.008688463056475637</v>
      </c>
      <c r="O211" s="164">
        <f t="shared" si="110"/>
        <v>0.0070530603914436</v>
      </c>
      <c r="P211" s="164">
        <f t="shared" si="110"/>
        <v>0.006833237881651799</v>
      </c>
      <c r="Q211" s="164">
        <f t="shared" si="110"/>
        <v>0.006657115311449413</v>
      </c>
      <c r="R211" s="164">
        <f t="shared" si="110"/>
        <v>0.006299729705898871</v>
      </c>
      <c r="S211" s="164">
        <f t="shared" si="110"/>
        <v>0.006481250726907417</v>
      </c>
      <c r="T211" s="164">
        <f t="shared" si="110"/>
        <v>0.006351884115172846</v>
      </c>
    </row>
    <row r="212" spans="1:20" ht="12.75">
      <c r="A212" s="403" t="s">
        <v>148</v>
      </c>
      <c r="D212" s="163">
        <f aca="true" t="shared" si="111" ref="D212:T212">D$210/D$208</f>
        <v>0.6637423836399838</v>
      </c>
      <c r="E212" s="163">
        <f t="shared" si="111"/>
        <v>0.6627112123812624</v>
      </c>
      <c r="F212" s="167">
        <f t="shared" si="111"/>
        <v>0.6650545903240332</v>
      </c>
      <c r="G212" s="167">
        <f t="shared" si="111"/>
        <v>0.6471881963125022</v>
      </c>
      <c r="H212" s="167">
        <f t="shared" si="111"/>
        <v>0.6354031098020413</v>
      </c>
      <c r="I212" s="167">
        <f t="shared" si="111"/>
        <v>0.6347341577685462</v>
      </c>
      <c r="J212" s="167">
        <f t="shared" si="111"/>
        <v>0.6417064472492705</v>
      </c>
      <c r="K212" s="164">
        <f t="shared" si="111"/>
        <v>0.6481844337216953</v>
      </c>
      <c r="L212" s="164">
        <f t="shared" si="111"/>
        <v>0.654630934190182</v>
      </c>
      <c r="M212" s="164">
        <f t="shared" si="111"/>
        <v>0.6612436669228325</v>
      </c>
      <c r="N212" s="164">
        <f t="shared" si="111"/>
        <v>0.6610202335875612</v>
      </c>
      <c r="O212" s="164">
        <f t="shared" si="111"/>
        <v>0.6597361641166952</v>
      </c>
      <c r="P212" s="164">
        <f t="shared" si="111"/>
        <v>0.6581617993654956</v>
      </c>
      <c r="Q212" s="164">
        <f t="shared" si="111"/>
        <v>0.6566430303549595</v>
      </c>
      <c r="R212" s="164">
        <f t="shared" si="111"/>
        <v>0.6547841241403107</v>
      </c>
      <c r="S212" s="164">
        <f t="shared" si="111"/>
        <v>0.6526761204330022</v>
      </c>
      <c r="T212" s="164">
        <f t="shared" si="111"/>
        <v>0.6502573814477575</v>
      </c>
    </row>
    <row r="213" spans="1:20" ht="12.75">
      <c r="A213" s="403" t="s">
        <v>132</v>
      </c>
      <c r="B213" s="395"/>
      <c r="D213" s="163">
        <f>Data!C$203</f>
        <v>0.0373</v>
      </c>
      <c r="E213" s="163">
        <f>Data!D$203</f>
        <v>0.0363</v>
      </c>
      <c r="F213" s="167">
        <f>Data!E$203</f>
        <v>0.0485</v>
      </c>
      <c r="G213" s="167">
        <f>Data!F$203</f>
        <v>0.0715</v>
      </c>
      <c r="H213" s="167">
        <f>Data!G$203</f>
        <v>0.0765</v>
      </c>
      <c r="I213" s="167">
        <f>Data!H$203</f>
        <v>0.0647</v>
      </c>
      <c r="J213" s="167">
        <f>Data!I$203</f>
        <v>0.0523</v>
      </c>
      <c r="K213" s="164">
        <f ca="1">IF(J$213&lt;OFFSET(Scenarios!$A$9,0,$C$1),MIN(J$213+OFFSET(Scenarios!$A$16,0,$C$1),OFFSET(Scenarios!$A$9,0,$C$1)),MAX(J$213-OFFSET(Scenarios!$A$16,0,$C$1),OFFSET(Scenarios!$A$9,0,$C$1)))</f>
        <v>0.0473</v>
      </c>
      <c r="L213" s="164">
        <f ca="1">IF(K$213&lt;OFFSET(Scenarios!$A$9,0,$C$1),MIN(K$213+OFFSET(Scenarios!$A$16,0,$C$1),OFFSET(Scenarios!$A$9,0,$C$1)),MAX(K$213-OFFSET(Scenarios!$A$16,0,$C$1),OFFSET(Scenarios!$A$9,0,$C$1)))</f>
        <v>0.045</v>
      </c>
      <c r="M213" s="164">
        <f ca="1">IF(L$213&lt;OFFSET(Scenarios!$A$9,0,$C$1),MIN(L$213+OFFSET(Scenarios!$A$16,0,$C$1),OFFSET(Scenarios!$A$9,0,$C$1)),MAX(L$213-OFFSET(Scenarios!$A$16,0,$C$1),OFFSET(Scenarios!$A$9,0,$C$1)))</f>
        <v>0.045</v>
      </c>
      <c r="N213" s="164">
        <f ca="1">IF(M$213&lt;OFFSET(Scenarios!$A$9,0,$C$1),MIN(M$213+OFFSET(Scenarios!$A$16,0,$C$1),OFFSET(Scenarios!$A$9,0,$C$1)),MAX(M$213-OFFSET(Scenarios!$A$16,0,$C$1),OFFSET(Scenarios!$A$9,0,$C$1)))</f>
        <v>0.045</v>
      </c>
      <c r="O213" s="164">
        <f ca="1">IF(N$213&lt;OFFSET(Scenarios!$A$9,0,$C$1),MIN(N$213+OFFSET(Scenarios!$A$16,0,$C$1),OFFSET(Scenarios!$A$9,0,$C$1)),MAX(N$213-OFFSET(Scenarios!$A$16,0,$C$1),OFFSET(Scenarios!$A$9,0,$C$1)))</f>
        <v>0.045</v>
      </c>
      <c r="P213" s="164">
        <f ca="1">IF(O$213&lt;OFFSET(Scenarios!$A$9,0,$C$1),MIN(O$213+OFFSET(Scenarios!$A$16,0,$C$1),OFFSET(Scenarios!$A$9,0,$C$1)),MAX(O$213-OFFSET(Scenarios!$A$16,0,$C$1),OFFSET(Scenarios!$A$9,0,$C$1)))</f>
        <v>0.045</v>
      </c>
      <c r="Q213" s="164">
        <f ca="1">IF(P$213&lt;OFFSET(Scenarios!$A$9,0,$C$1),MIN(P$213+OFFSET(Scenarios!$A$16,0,$C$1),OFFSET(Scenarios!$A$9,0,$C$1)),MAX(P$213-OFFSET(Scenarios!$A$16,0,$C$1),OFFSET(Scenarios!$A$9,0,$C$1)))</f>
        <v>0.045</v>
      </c>
      <c r="R213" s="164">
        <f ca="1">IF(Q$213&lt;OFFSET(Scenarios!$A$9,0,$C$1),MIN(Q$213+OFFSET(Scenarios!$A$16,0,$C$1),OFFSET(Scenarios!$A$9,0,$C$1)),MAX(Q$213-OFFSET(Scenarios!$A$16,0,$C$1),OFFSET(Scenarios!$A$9,0,$C$1)))</f>
        <v>0.045</v>
      </c>
      <c r="S213" s="164">
        <f ca="1">IF(R$213&lt;OFFSET(Scenarios!$A$9,0,$C$1),MIN(R$213+OFFSET(Scenarios!$A$16,0,$C$1),OFFSET(Scenarios!$A$9,0,$C$1)),MAX(R$213-OFFSET(Scenarios!$A$16,0,$C$1),OFFSET(Scenarios!$A$9,0,$C$1)))</f>
        <v>0.045</v>
      </c>
      <c r="T213" s="164">
        <f ca="1">IF(S$213&lt;OFFSET(Scenarios!$A$9,0,$C$1),MIN(S$213+OFFSET(Scenarios!$A$16,0,$C$1),OFFSET(Scenarios!$A$9,0,$C$1)),MAX(S$213-OFFSET(Scenarios!$A$16,0,$C$1),OFFSET(Scenarios!$A$9,0,$C$1)))</f>
        <v>0.045</v>
      </c>
    </row>
    <row r="214" spans="1:20" ht="12.75">
      <c r="A214" s="403" t="s">
        <v>594</v>
      </c>
      <c r="D214" s="407">
        <f aca="true" t="shared" si="112" ref="D214:T214">D$210*(1-D$213)</f>
        <v>2.13411336</v>
      </c>
      <c r="E214" s="407">
        <f t="shared" si="112"/>
        <v>2.1582061500000003</v>
      </c>
      <c r="F214" s="408">
        <f t="shared" si="112"/>
        <v>2.1641867500000003</v>
      </c>
      <c r="G214" s="408">
        <f t="shared" si="112"/>
        <v>2.08197555</v>
      </c>
      <c r="H214" s="408">
        <f t="shared" si="112"/>
        <v>2.0559880500000003</v>
      </c>
      <c r="I214" s="408">
        <f t="shared" si="112"/>
        <v>2.10218028</v>
      </c>
      <c r="J214" s="408">
        <f t="shared" si="112"/>
        <v>2.1759191999999996</v>
      </c>
      <c r="K214" s="392">
        <f t="shared" si="112"/>
        <v>2.231545037517964</v>
      </c>
      <c r="L214" s="392">
        <f t="shared" si="112"/>
        <v>2.2825049513955786</v>
      </c>
      <c r="M214" s="392">
        <f t="shared" si="112"/>
        <v>2.3281941189146758</v>
      </c>
      <c r="N214" s="392">
        <f t="shared" si="112"/>
        <v>2.34842254750517</v>
      </c>
      <c r="O214" s="392">
        <f t="shared" si="112"/>
        <v>2.364986113557352</v>
      </c>
      <c r="P214" s="392">
        <f t="shared" si="112"/>
        <v>2.3811466262580927</v>
      </c>
      <c r="Q214" s="392">
        <f t="shared" si="112"/>
        <v>2.3969981939225615</v>
      </c>
      <c r="R214" s="392">
        <f t="shared" si="112"/>
        <v>2.4120986346498015</v>
      </c>
      <c r="S214" s="392">
        <f t="shared" si="112"/>
        <v>2.4277320506789977</v>
      </c>
      <c r="T214" s="392">
        <f t="shared" si="112"/>
        <v>2.4431527233276022</v>
      </c>
    </row>
    <row r="215" spans="1:20" ht="12.75">
      <c r="A215" s="228" t="s">
        <v>146</v>
      </c>
      <c r="D215" s="163"/>
      <c r="E215" s="163">
        <f aca="true" t="shared" si="113" ref="E215:T215">E$214/D$214-1</f>
        <v>0.011289367496392089</v>
      </c>
      <c r="F215" s="167">
        <f t="shared" si="113"/>
        <v>0.002771097654410859</v>
      </c>
      <c r="G215" s="167">
        <f t="shared" si="113"/>
        <v>-0.03798710993864096</v>
      </c>
      <c r="H215" s="167">
        <f t="shared" si="113"/>
        <v>-0.012482135056773314</v>
      </c>
      <c r="I215" s="167">
        <f t="shared" si="113"/>
        <v>0.022467168522696257</v>
      </c>
      <c r="J215" s="167">
        <f t="shared" si="113"/>
        <v>0.035077353118353694</v>
      </c>
      <c r="K215" s="164">
        <f t="shared" si="113"/>
        <v>0.02556429370997071</v>
      </c>
      <c r="L215" s="164">
        <f t="shared" si="113"/>
        <v>0.022836157469756868</v>
      </c>
      <c r="M215" s="164">
        <f t="shared" si="113"/>
        <v>0.020017116497890397</v>
      </c>
      <c r="N215" s="164">
        <f t="shared" si="113"/>
        <v>0.008688463056475637</v>
      </c>
      <c r="O215" s="164">
        <f t="shared" si="113"/>
        <v>0.007053060391443822</v>
      </c>
      <c r="P215" s="164">
        <f t="shared" si="113"/>
        <v>0.006833237881651799</v>
      </c>
      <c r="Q215" s="164">
        <f t="shared" si="113"/>
        <v>0.006657115311449413</v>
      </c>
      <c r="R215" s="164">
        <f t="shared" si="113"/>
        <v>0.006299729705898871</v>
      </c>
      <c r="S215" s="164">
        <f t="shared" si="113"/>
        <v>0.006481250726907417</v>
      </c>
      <c r="T215" s="164">
        <f t="shared" si="113"/>
        <v>0.006351884115173068</v>
      </c>
    </row>
    <row r="216" spans="1:20" ht="12.75">
      <c r="A216" s="403" t="s">
        <v>133</v>
      </c>
      <c r="B216" s="395"/>
      <c r="D216" s="455">
        <f>Data!C$204</f>
        <v>38.1</v>
      </c>
      <c r="E216" s="455">
        <f>Data!D$204</f>
        <v>38</v>
      </c>
      <c r="F216" s="456">
        <f>Data!E$204</f>
        <v>37.7</v>
      </c>
      <c r="G216" s="456">
        <f>Data!F$204</f>
        <v>37.9</v>
      </c>
      <c r="H216" s="456">
        <f>Data!G$204</f>
        <v>38.3</v>
      </c>
      <c r="I216" s="456">
        <f>Data!H$204</f>
        <v>38.2</v>
      </c>
      <c r="J216" s="456">
        <f>Data!I$204</f>
        <v>38.1</v>
      </c>
      <c r="K216" s="457">
        <f ca="1">IF(J$216&lt;OFFSET(Scenarios!$A$10,0,$C$1),MIN(J$216+OFFSET(Scenarios!$A$17,0,$C$1),OFFSET(Scenarios!$A$10,0,$C$1)),MAX(J$216-OFFSET(Scenarios!$A$17,0,$C$1),OFFSET(Scenarios!$A$10,0,$C$1)))</f>
        <v>38</v>
      </c>
      <c r="L216" s="457">
        <f ca="1">IF(K$216&lt;OFFSET(Scenarios!$A$10,0,$C$1),MIN(K$216+OFFSET(Scenarios!$A$17,0,$C$1),OFFSET(Scenarios!$A$10,0,$C$1)),MAX(K$216-OFFSET(Scenarios!$A$17,0,$C$1),OFFSET(Scenarios!$A$10,0,$C$1)))</f>
        <v>38</v>
      </c>
      <c r="M216" s="457">
        <f ca="1">IF(L$216&lt;OFFSET(Scenarios!$A$10,0,$C$1),MIN(L$216+OFFSET(Scenarios!$A$17,0,$C$1),OFFSET(Scenarios!$A$10,0,$C$1)),MAX(L$216-OFFSET(Scenarios!$A$17,0,$C$1),OFFSET(Scenarios!$A$10,0,$C$1)))</f>
        <v>38</v>
      </c>
      <c r="N216" s="457">
        <f ca="1">IF(M$216&lt;OFFSET(Scenarios!$A$10,0,$C$1),MIN(M$216+OFFSET(Scenarios!$A$17,0,$C$1),OFFSET(Scenarios!$A$10,0,$C$1)),MAX(M$216-OFFSET(Scenarios!$A$17,0,$C$1),OFFSET(Scenarios!$A$10,0,$C$1)))</f>
        <v>38</v>
      </c>
      <c r="O216" s="457">
        <f ca="1">IF(N$216&lt;OFFSET(Scenarios!$A$10,0,$C$1),MIN(N$216+OFFSET(Scenarios!$A$17,0,$C$1),OFFSET(Scenarios!$A$10,0,$C$1)),MAX(N$216-OFFSET(Scenarios!$A$17,0,$C$1),OFFSET(Scenarios!$A$10,0,$C$1)))</f>
        <v>38</v>
      </c>
      <c r="P216" s="457">
        <f ca="1">IF(O$216&lt;OFFSET(Scenarios!$A$10,0,$C$1),MIN(O$216+OFFSET(Scenarios!$A$17,0,$C$1),OFFSET(Scenarios!$A$10,0,$C$1)),MAX(O$216-OFFSET(Scenarios!$A$17,0,$C$1),OFFSET(Scenarios!$A$10,0,$C$1)))</f>
        <v>38</v>
      </c>
      <c r="Q216" s="457">
        <f ca="1">IF(P$216&lt;OFFSET(Scenarios!$A$10,0,$C$1),MIN(P$216+OFFSET(Scenarios!$A$17,0,$C$1),OFFSET(Scenarios!$A$10,0,$C$1)),MAX(P$216-OFFSET(Scenarios!$A$17,0,$C$1),OFFSET(Scenarios!$A$10,0,$C$1)))</f>
        <v>38</v>
      </c>
      <c r="R216" s="457">
        <f ca="1">IF(Q$216&lt;OFFSET(Scenarios!$A$10,0,$C$1),MIN(Q$216+OFFSET(Scenarios!$A$17,0,$C$1),OFFSET(Scenarios!$A$10,0,$C$1)),MAX(Q$216-OFFSET(Scenarios!$A$17,0,$C$1),OFFSET(Scenarios!$A$10,0,$C$1)))</f>
        <v>38</v>
      </c>
      <c r="S216" s="457">
        <f ca="1">IF(R$216&lt;OFFSET(Scenarios!$A$10,0,$C$1),MIN(R$216+OFFSET(Scenarios!$A$17,0,$C$1),OFFSET(Scenarios!$A$10,0,$C$1)),MAX(R$216-OFFSET(Scenarios!$A$17,0,$C$1),OFFSET(Scenarios!$A$10,0,$C$1)))</f>
        <v>38</v>
      </c>
      <c r="T216" s="457">
        <f ca="1">IF(S$216&lt;OFFSET(Scenarios!$A$10,0,$C$1),MIN(S$216+OFFSET(Scenarios!$A$17,0,$C$1),OFFSET(Scenarios!$A$10,0,$C$1)),MAX(S$216-OFFSET(Scenarios!$A$17,0,$C$1),OFFSET(Scenarios!$A$10,0,$C$1)))</f>
        <v>38</v>
      </c>
    </row>
    <row r="217" spans="1:20" ht="12.75">
      <c r="A217" s="403" t="s">
        <v>226</v>
      </c>
      <c r="B217" s="395"/>
      <c r="D217" s="163">
        <f>Data!C$206</f>
        <v>0.0472</v>
      </c>
      <c r="E217" s="163">
        <f>Data!D$206</f>
        <v>0.0451</v>
      </c>
      <c r="F217" s="167">
        <f>Data!E$206</f>
        <v>0.0461</v>
      </c>
      <c r="G217" s="167">
        <f>Data!F$206</f>
        <v>0.0217</v>
      </c>
      <c r="H217" s="167">
        <f>Data!G$206</f>
        <v>0.0131</v>
      </c>
      <c r="I217" s="167">
        <f>Data!H$206</f>
        <v>0.0126</v>
      </c>
      <c r="J217" s="167">
        <f>Data!I$206</f>
        <v>0.0158</v>
      </c>
      <c r="K217" s="164">
        <f aca="true" t="shared" si="114" ref="K217:T217">(1+K$206)*(1+K$218)-1</f>
        <v>0.034337724465207</v>
      </c>
      <c r="L217" s="164">
        <f t="shared" si="114"/>
        <v>0.03529999999999989</v>
      </c>
      <c r="M217" s="164">
        <f t="shared" si="114"/>
        <v>0.03529999999999989</v>
      </c>
      <c r="N217" s="164">
        <f t="shared" si="114"/>
        <v>0.03529999999999989</v>
      </c>
      <c r="O217" s="164">
        <f t="shared" si="114"/>
        <v>0.03529999999999989</v>
      </c>
      <c r="P217" s="164">
        <f t="shared" si="114"/>
        <v>0.03529999999999989</v>
      </c>
      <c r="Q217" s="164">
        <f t="shared" si="114"/>
        <v>0.03529999999999989</v>
      </c>
      <c r="R217" s="164">
        <f t="shared" si="114"/>
        <v>0.03529999999999989</v>
      </c>
      <c r="S217" s="164">
        <f t="shared" si="114"/>
        <v>0.03529999999999989</v>
      </c>
      <c r="T217" s="164">
        <f t="shared" si="114"/>
        <v>0.03529999999999989</v>
      </c>
    </row>
    <row r="218" spans="1:20" ht="12.75">
      <c r="A218" s="403" t="s">
        <v>334</v>
      </c>
      <c r="B218" s="395"/>
      <c r="D218" s="163">
        <f>Data!C$205</f>
        <v>0.0155</v>
      </c>
      <c r="E218" s="163">
        <f>Data!D$205</f>
        <v>0.0259</v>
      </c>
      <c r="F218" s="167">
        <f>Data!E$205</f>
        <v>-0.0035</v>
      </c>
      <c r="G218" s="167">
        <f>Data!F$205</f>
        <v>0.0302</v>
      </c>
      <c r="H218" s="167">
        <f>Data!G$205</f>
        <v>0.0255</v>
      </c>
      <c r="I218" s="167">
        <f>Data!H$205</f>
        <v>0.0125</v>
      </c>
      <c r="J218" s="167">
        <f>Data!I$205</f>
        <v>0.0071</v>
      </c>
      <c r="K218" s="164">
        <f ca="1">OFFSET(Scenarios!$A$6,0,$C$1)</f>
        <v>0.015</v>
      </c>
      <c r="L218" s="164">
        <f ca="1">OFFSET(Scenarios!$A$6,0,$C$1)</f>
        <v>0.015</v>
      </c>
      <c r="M218" s="164">
        <f ca="1">OFFSET(Scenarios!$A$6,0,$C$1)</f>
        <v>0.015</v>
      </c>
      <c r="N218" s="164">
        <f ca="1">OFFSET(Scenarios!$A$6,0,$C$1)</f>
        <v>0.015</v>
      </c>
      <c r="O218" s="164">
        <f ca="1">OFFSET(Scenarios!$A$6,0,$C$1)</f>
        <v>0.015</v>
      </c>
      <c r="P218" s="164">
        <f ca="1">OFFSET(Scenarios!$A$6,0,$C$1)</f>
        <v>0.015</v>
      </c>
      <c r="Q218" s="164">
        <f ca="1">OFFSET(Scenarios!$A$6,0,$C$1)</f>
        <v>0.015</v>
      </c>
      <c r="R218" s="164">
        <f ca="1">OFFSET(Scenarios!$A$6,0,$C$1)</f>
        <v>0.015</v>
      </c>
      <c r="S218" s="164">
        <f ca="1">OFFSET(Scenarios!$A$6,0,$C$1)</f>
        <v>0.015</v>
      </c>
      <c r="T218" s="164">
        <f ca="1">OFFSET(Scenarios!$A$6,0,$C$1)</f>
        <v>0.015</v>
      </c>
    </row>
    <row r="219" spans="4:20" ht="12.75">
      <c r="D219" s="405"/>
      <c r="E219" s="405"/>
      <c r="T219" s="392"/>
    </row>
    <row r="220" spans="1:20" ht="15.75">
      <c r="A220" s="404" t="s">
        <v>335</v>
      </c>
      <c r="D220" s="405"/>
      <c r="E220" s="405"/>
      <c r="T220" s="392"/>
    </row>
    <row r="221" spans="1:20" ht="12.75">
      <c r="A221" s="403" t="s">
        <v>293</v>
      </c>
      <c r="D221" s="405"/>
      <c r="E221" s="405"/>
      <c r="T221" s="392"/>
    </row>
    <row r="222" spans="1:20" ht="12.75">
      <c r="A222" s="431" t="s">
        <v>203</v>
      </c>
      <c r="D222" s="405"/>
      <c r="E222" s="406">
        <f>Popn!E$201</f>
        <v>0.021017258073702694</v>
      </c>
      <c r="F222" s="459">
        <f>Popn!F$201</f>
        <v>0.02740897764885264</v>
      </c>
      <c r="G222" s="459">
        <f>Popn!G$201</f>
        <v>0.028831535510026818</v>
      </c>
      <c r="H222" s="459">
        <f>Popn!H$201</f>
        <v>0.0305391855044419</v>
      </c>
      <c r="I222" s="459">
        <f>Popn!I$201</f>
        <v>0.04129325207831891</v>
      </c>
      <c r="J222" s="459">
        <f>Popn!J$201</f>
        <v>0.03831147540983615</v>
      </c>
      <c r="K222" s="460">
        <f>Popn!K$201</f>
        <v>0.035034813773939355</v>
      </c>
      <c r="L222" s="460">
        <f>Popn!L$201</f>
        <v>0.0346421380194033</v>
      </c>
      <c r="M222" s="460">
        <f>Popn!M$201</f>
        <v>0.03231751367449531</v>
      </c>
      <c r="N222" s="460">
        <f>Popn!N$201</f>
        <v>0.03164855253574039</v>
      </c>
      <c r="O222" s="460">
        <f>Popn!O$201</f>
        <v>0.030719180452689177</v>
      </c>
      <c r="P222" s="460">
        <f>Popn!P$201</f>
        <v>0.0313347838934106</v>
      </c>
      <c r="Q222" s="460">
        <f>Popn!Q$201</f>
        <v>0.03126831364684124</v>
      </c>
      <c r="R222" s="460">
        <f>Popn!R$201</f>
        <v>0.032126079709046795</v>
      </c>
      <c r="S222" s="460">
        <f>Popn!S$201</f>
        <v>0.03181128566534519</v>
      </c>
      <c r="T222" s="460">
        <f>Popn!T$201</f>
        <v>0.030830526964853222</v>
      </c>
    </row>
    <row r="223" spans="1:20" ht="12.75">
      <c r="A223" s="431" t="s">
        <v>263</v>
      </c>
      <c r="D223" s="405"/>
      <c r="E223" s="406">
        <f aca="true" t="shared" si="115" ref="E223:T223">E$206</f>
        <v>0.04019607843137263</v>
      </c>
      <c r="F223" s="459">
        <f t="shared" si="115"/>
        <v>0.018755890669180042</v>
      </c>
      <c r="G223" s="459">
        <f t="shared" si="115"/>
        <v>0.025206772134332533</v>
      </c>
      <c r="H223" s="459">
        <f t="shared" si="115"/>
        <v>0.01301723780079489</v>
      </c>
      <c r="I223" s="459">
        <f t="shared" si="115"/>
        <v>0.012171167792504933</v>
      </c>
      <c r="J223" s="459">
        <f t="shared" si="115"/>
        <v>0.017051945285918357</v>
      </c>
      <c r="K223" s="460">
        <f t="shared" si="115"/>
        <v>0.01905194528591836</v>
      </c>
      <c r="L223" s="460">
        <f t="shared" si="115"/>
        <v>0.02</v>
      </c>
      <c r="M223" s="460">
        <f t="shared" si="115"/>
        <v>0.02</v>
      </c>
      <c r="N223" s="460">
        <f t="shared" si="115"/>
        <v>0.02</v>
      </c>
      <c r="O223" s="460">
        <f t="shared" si="115"/>
        <v>0.02</v>
      </c>
      <c r="P223" s="460">
        <f t="shared" si="115"/>
        <v>0.02</v>
      </c>
      <c r="Q223" s="460">
        <f t="shared" si="115"/>
        <v>0.02</v>
      </c>
      <c r="R223" s="460">
        <f t="shared" si="115"/>
        <v>0.02</v>
      </c>
      <c r="S223" s="460">
        <f t="shared" si="115"/>
        <v>0.02</v>
      </c>
      <c r="T223" s="460">
        <f t="shared" si="115"/>
        <v>0.02</v>
      </c>
    </row>
    <row r="224" spans="1:20" ht="12.75">
      <c r="A224" s="431" t="s">
        <v>204</v>
      </c>
      <c r="D224" s="405"/>
      <c r="E224" s="317">
        <f aca="true" t="shared" si="116" ref="E224:T224">E$69/D$69-(1+E$222+E$223)</f>
        <v>0.017788131923705874</v>
      </c>
      <c r="F224" s="193">
        <f t="shared" si="116"/>
        <v>0.007999530157743129</v>
      </c>
      <c r="G224" s="193">
        <f t="shared" si="116"/>
        <v>0.010511137230414747</v>
      </c>
      <c r="H224" s="193">
        <f t="shared" si="116"/>
        <v>0.007256091853627966</v>
      </c>
      <c r="I224" s="193">
        <f t="shared" si="116"/>
        <v>0.006662527619078151</v>
      </c>
      <c r="J224" s="193">
        <f t="shared" si="116"/>
        <v>-0.0031099915644676734</v>
      </c>
      <c r="K224" s="194">
        <f t="shared" si="116"/>
        <v>0.003620844939651091</v>
      </c>
      <c r="L224" s="194">
        <f t="shared" si="116"/>
        <v>0.013054046938473673</v>
      </c>
      <c r="M224" s="194">
        <f t="shared" si="116"/>
        <v>0.012926624348085447</v>
      </c>
      <c r="N224" s="194">
        <f t="shared" si="116"/>
        <v>0.01285117082145959</v>
      </c>
      <c r="O224" s="194">
        <f t="shared" si="116"/>
        <v>0.012766491706963423</v>
      </c>
      <c r="P224" s="194">
        <f t="shared" si="116"/>
        <v>0.012729901444831215</v>
      </c>
      <c r="Q224" s="194">
        <f t="shared" si="116"/>
        <v>0.012670567128120869</v>
      </c>
      <c r="R224" s="194">
        <f t="shared" si="116"/>
        <v>0.012639373034277313</v>
      </c>
      <c r="S224" s="194">
        <f t="shared" si="116"/>
        <v>0.012569945113579672</v>
      </c>
      <c r="T224" s="194">
        <f t="shared" si="116"/>
        <v>0.01247842020225165</v>
      </c>
    </row>
    <row r="225" spans="1:20" ht="12.75">
      <c r="A225" s="461" t="s">
        <v>205</v>
      </c>
      <c r="D225" s="405"/>
      <c r="E225" s="318">
        <f aca="true" t="shared" si="117" ref="E225:T225">E$69/D$69-1</f>
        <v>0.0790014684287812</v>
      </c>
      <c r="F225" s="166">
        <f t="shared" si="117"/>
        <v>0.05416439847577581</v>
      </c>
      <c r="G225" s="166">
        <f t="shared" si="117"/>
        <v>0.0645494448747741</v>
      </c>
      <c r="H225" s="166">
        <f t="shared" si="117"/>
        <v>0.05081251515886476</v>
      </c>
      <c r="I225" s="166">
        <f t="shared" si="117"/>
        <v>0.060126947489901994</v>
      </c>
      <c r="J225" s="166">
        <f t="shared" si="117"/>
        <v>0.05225342913128683</v>
      </c>
      <c r="K225" s="165">
        <f t="shared" si="117"/>
        <v>0.057707603999508805</v>
      </c>
      <c r="L225" s="165">
        <f t="shared" si="117"/>
        <v>0.06769618495787699</v>
      </c>
      <c r="M225" s="165">
        <f t="shared" si="117"/>
        <v>0.06524413802258078</v>
      </c>
      <c r="N225" s="165">
        <f t="shared" si="117"/>
        <v>0.0644997233572</v>
      </c>
      <c r="O225" s="165">
        <f t="shared" si="117"/>
        <v>0.06348567215965262</v>
      </c>
      <c r="P225" s="165">
        <f t="shared" si="117"/>
        <v>0.06406468533824183</v>
      </c>
      <c r="Q225" s="165">
        <f t="shared" si="117"/>
        <v>0.06393888077496213</v>
      </c>
      <c r="R225" s="165">
        <f t="shared" si="117"/>
        <v>0.06476545274332413</v>
      </c>
      <c r="S225" s="165">
        <f t="shared" si="117"/>
        <v>0.06438123077892488</v>
      </c>
      <c r="T225" s="165">
        <f t="shared" si="117"/>
        <v>0.06330894716710489</v>
      </c>
    </row>
    <row r="226" spans="1:19" ht="12.75">
      <c r="A226" s="403" t="s">
        <v>206</v>
      </c>
      <c r="D226" s="405"/>
      <c r="E226" s="405"/>
      <c r="F226" s="393"/>
      <c r="G226" s="393"/>
      <c r="H226" s="393"/>
      <c r="I226" s="393"/>
      <c r="J226" s="393"/>
      <c r="K226" s="393"/>
      <c r="L226" s="393"/>
      <c r="M226" s="393"/>
      <c r="N226" s="393"/>
      <c r="O226" s="393"/>
      <c r="P226" s="393"/>
      <c r="Q226" s="393"/>
      <c r="R226" s="393"/>
      <c r="S226" s="393"/>
    </row>
    <row r="227" spans="1:20" ht="12.75">
      <c r="A227" s="431" t="s">
        <v>203</v>
      </c>
      <c r="D227" s="405"/>
      <c r="E227" s="406">
        <f>SUM(D$70*((E$210*E$213)/(D$210*D$213)-1),D$71*(SUMPRODUCT(Popn!E$204:E$214,Tracks!$H$91:$H$101)+SUMPRODUCT(Popn!E$215:E$225,Tracks!$I$91:$I$101)),D$72*AVERAGE(Popn!E$197,Popn!E$202))/(D$73-D$69)</f>
        <v>0.006769653391535491</v>
      </c>
      <c r="F227" s="459">
        <f>SUM(E$70*((F$210*F$213)/(E$210*E$213)-1),E$71*(SUMPRODUCT(Popn!F$204:F$214,Tracks!$H$91:$H$101)+SUMPRODUCT(Popn!F$215:F$225,Tracks!$I$91:$I$101)),E$72*AVERAGE(Popn!F$197,Popn!F$202))/(E$73-E$69)</f>
        <v>0.023799389106767512</v>
      </c>
      <c r="G227" s="459">
        <f>SUM(F$70*((G$210*G$213)/(F$210*F$213)-1),F$71*(SUMPRODUCT(Popn!G$204:G$214,Tracks!$H$91:$H$101)+SUMPRODUCT(Popn!G$215:G$225,Tracks!$I$91:$I$101)),F$72*AVERAGE(Popn!G$197,Popn!G$202))/(F$73-F$69)</f>
        <v>0.030779390169883</v>
      </c>
      <c r="H227" s="459">
        <f>SUM(G$70*((H$210*H$213)/(G$210*G$213)-1),G$71*(SUMPRODUCT(Popn!H$204:H$214,Tracks!$H$91:$H$101)+SUMPRODUCT(Popn!H$215:H$225,Tracks!$I$91:$I$101)),G$72*AVERAGE(Popn!H$197,Popn!H$202))/(G$73-G$69)</f>
        <v>0.010790508095399014</v>
      </c>
      <c r="I227" s="459">
        <f>SUM(H$70*((I$210*I$213)/(H$210*H$213)-1),H$71*(SUMPRODUCT(Popn!I$204:I$214,Tracks!$H$91:$H$101)+SUMPRODUCT(Popn!I$215:I$225,Tracks!$I$91:$I$101)),H$72*AVERAGE(Popn!I$197,Popn!I$202))/(H$73-H$69)</f>
        <v>-0.009105606411094208</v>
      </c>
      <c r="J227" s="459">
        <f>SUM(I$70*((J$210*J$213)/(I$210*I$213)-1),I$71*(SUMPRODUCT(Popn!J$204:J$214,Tracks!$H$91:$H$101)+SUMPRODUCT(Popn!J$215:J$225,Tracks!$I$91:$I$101)),I$72*AVERAGE(Popn!J$197,Popn!J$202))/(I$73-I$69)</f>
        <v>-0.011691776725502279</v>
      </c>
      <c r="K227" s="460">
        <f>SUM(J$70*((K$210*K$213)/(J$210*J$213)-1),J$71*(SUMPRODUCT(Popn!K$204:K$214,Tracks!$H$91:$H$101)+SUMPRODUCT(Popn!K$215:K$225,Tracks!$I$91:$I$101)),J$72*AVERAGE(Popn!K$197,Popn!K$202))/(J$73-J$69)</f>
        <v>-0.0019111350844696398</v>
      </c>
      <c r="L227" s="460">
        <f>SUM(K$70*((L$210*L$213)/(K$210*K$213)-1),K$71*(SUMPRODUCT(Popn!L$204:L$214,Tracks!$H$91:$H$101)+SUMPRODUCT(Popn!L$215:L$225,Tracks!$I$91:$I$101)),K$72*AVERAGE(Popn!L$197,Popn!L$202))/(K$73-K$69)</f>
        <v>0.0021753650304978983</v>
      </c>
      <c r="M227" s="460">
        <f>SUM(L$70*((M$210*M$213)/(L$210*L$213)-1),L$71*(SUMPRODUCT(Popn!M$204:M$214,Tracks!$H$91:$H$101)+SUMPRODUCT(Popn!M$215:M$225,Tracks!$I$91:$I$101)),L$72*AVERAGE(Popn!M$197,Popn!M$202))/(L$73-L$69)</f>
        <v>0.006274791761496974</v>
      </c>
      <c r="N227" s="460">
        <f>SUM(M$70*((N$210*N$213)/(M$210*M$213)-1),M$71*(SUMPRODUCT(Popn!N$204:N$214,Tracks!$H$91:$H$101)+SUMPRODUCT(Popn!N$215:N$225,Tracks!$I$91:$I$101)),M$72*AVERAGE(Popn!N$197,Popn!N$202))/(M$73-M$69)</f>
        <v>0.0054386281134274055</v>
      </c>
      <c r="O227" s="460">
        <f>SUM(N$70*((O$210*O$213)/(N$210*N$213)-1),N$71*(SUMPRODUCT(Popn!O$204:O$214,Tracks!$H$91:$H$101)+SUMPRODUCT(Popn!O$215:O$225,Tracks!$I$91:$I$101)),N$72*AVERAGE(Popn!O$197,Popn!O$202))/(N$73-N$69)</f>
        <v>0.005334785979170117</v>
      </c>
      <c r="P227" s="460">
        <f>SUM(O$70*((P$210*P$213)/(O$210*O$213)-1),O$71*(SUMPRODUCT(Popn!P$204:P$214,Tracks!$H$91:$H$101)+SUMPRODUCT(Popn!P$215:P$225,Tracks!$I$91:$I$101)),O$72*AVERAGE(Popn!P$197,Popn!P$202))/(O$73-O$69)</f>
        <v>0.0051020911345083025</v>
      </c>
      <c r="Q227" s="460">
        <f>SUM(P$70*((Q$210*Q$213)/(P$210*P$213)-1),P$71*(SUMPRODUCT(Popn!Q$204:Q$214,Tracks!$H$91:$H$101)+SUMPRODUCT(Popn!Q$215:Q$225,Tracks!$I$91:$I$101)),P$72*AVERAGE(Popn!Q$197,Popn!Q$202))/(P$73-P$69)</f>
        <v>0.004211552935432792</v>
      </c>
      <c r="R227" s="460">
        <f>SUM(Q$70*((R$210*R$213)/(Q$210*Q$213)-1),Q$71*(SUMPRODUCT(Popn!R$204:R$214,Tracks!$H$91:$H$101)+SUMPRODUCT(Popn!R$215:R$225,Tracks!$I$91:$I$101)),Q$72*AVERAGE(Popn!R$197,Popn!R$202))/(Q$73-Q$69)</f>
        <v>0.004157504218223225</v>
      </c>
      <c r="S227" s="460">
        <f>SUM(R$70*((S$210*S$213)/(R$210*R$213)-1),R$71*(SUMPRODUCT(Popn!S$204:S$214,Tracks!$H$91:$H$101)+SUMPRODUCT(Popn!S$215:S$225,Tracks!$I$91:$I$101)),R$72*AVERAGE(Popn!S$197,Popn!S$202))/(R$73-R$69)</f>
        <v>0.004650764226987648</v>
      </c>
      <c r="T227" s="460">
        <f>SUM(S$70*((T$210*T$213)/(S$210*S$213)-1),S$71*(SUMPRODUCT(Popn!T$204:T$214,Tracks!$H$91:$H$101)+SUMPRODUCT(Popn!T$215:T$225,Tracks!$I$91:$I$101)),S$72*AVERAGE(Popn!T$197,Popn!T$202))/(S$73-S$69)</f>
        <v>0.0043156333933682565</v>
      </c>
    </row>
    <row r="228" spans="1:20" ht="12.75">
      <c r="A228" s="431" t="s">
        <v>263</v>
      </c>
      <c r="D228" s="405"/>
      <c r="E228" s="406">
        <f aca="true" t="shared" si="118" ref="E228:T228">E$206</f>
        <v>0.04019607843137263</v>
      </c>
      <c r="F228" s="459">
        <f t="shared" si="118"/>
        <v>0.018755890669180042</v>
      </c>
      <c r="G228" s="459">
        <f t="shared" si="118"/>
        <v>0.025206772134332533</v>
      </c>
      <c r="H228" s="459">
        <f t="shared" si="118"/>
        <v>0.01301723780079489</v>
      </c>
      <c r="I228" s="459">
        <f t="shared" si="118"/>
        <v>0.012171167792504933</v>
      </c>
      <c r="J228" s="459">
        <f t="shared" si="118"/>
        <v>0.017051945285918357</v>
      </c>
      <c r="K228" s="460">
        <f t="shared" si="118"/>
        <v>0.01905194528591836</v>
      </c>
      <c r="L228" s="460">
        <f t="shared" si="118"/>
        <v>0.02</v>
      </c>
      <c r="M228" s="460">
        <f t="shared" si="118"/>
        <v>0.02</v>
      </c>
      <c r="N228" s="460">
        <f t="shared" si="118"/>
        <v>0.02</v>
      </c>
      <c r="O228" s="460">
        <f t="shared" si="118"/>
        <v>0.02</v>
      </c>
      <c r="P228" s="460">
        <f t="shared" si="118"/>
        <v>0.02</v>
      </c>
      <c r="Q228" s="460">
        <f t="shared" si="118"/>
        <v>0.02</v>
      </c>
      <c r="R228" s="460">
        <f t="shared" si="118"/>
        <v>0.02</v>
      </c>
      <c r="S228" s="460">
        <f t="shared" si="118"/>
        <v>0.02</v>
      </c>
      <c r="T228" s="460">
        <f t="shared" si="118"/>
        <v>0.02</v>
      </c>
    </row>
    <row r="229" spans="1:20" ht="12.75">
      <c r="A229" s="431" t="s">
        <v>211</v>
      </c>
      <c r="D229" s="405"/>
      <c r="E229" s="317">
        <f aca="true" t="shared" si="119" ref="E229:T229">(E$73-E$69)/(D$73-D$69)-(1+E$227+E$228)</f>
        <v>0.010375099669359011</v>
      </c>
      <c r="F229" s="193">
        <f t="shared" si="119"/>
        <v>0.07141565763501267</v>
      </c>
      <c r="G229" s="193">
        <f t="shared" si="119"/>
        <v>0.04325503472877945</v>
      </c>
      <c r="H229" s="193">
        <f t="shared" si="119"/>
        <v>0.01931643001321448</v>
      </c>
      <c r="I229" s="193">
        <f t="shared" si="119"/>
        <v>0.01849738010122759</v>
      </c>
      <c r="J229" s="193">
        <f t="shared" si="119"/>
        <v>0.0067950101279889985</v>
      </c>
      <c r="K229" s="194">
        <f t="shared" si="119"/>
        <v>-3.641084106309478E-05</v>
      </c>
      <c r="L229" s="194">
        <f t="shared" si="119"/>
        <v>4.350730061020158E-05</v>
      </c>
      <c r="M229" s="194">
        <f t="shared" si="119"/>
        <v>0.0001254958352296942</v>
      </c>
      <c r="N229" s="194">
        <f t="shared" si="119"/>
        <v>0.00010877256226859977</v>
      </c>
      <c r="O229" s="194">
        <f t="shared" si="119"/>
        <v>0.00010669571958343838</v>
      </c>
      <c r="P229" s="194">
        <f t="shared" si="119"/>
        <v>0.00010204182269002438</v>
      </c>
      <c r="Q229" s="194">
        <f t="shared" si="119"/>
        <v>8.423105870880576E-05</v>
      </c>
      <c r="R229" s="194">
        <f t="shared" si="119"/>
        <v>8.315008436476923E-05</v>
      </c>
      <c r="S229" s="194">
        <f t="shared" si="119"/>
        <v>9.301528453953267E-05</v>
      </c>
      <c r="T229" s="194">
        <f t="shared" si="119"/>
        <v>8.631266786784941E-05</v>
      </c>
    </row>
    <row r="230" spans="1:20" ht="12.75">
      <c r="A230" s="461" t="s">
        <v>205</v>
      </c>
      <c r="D230" s="405"/>
      <c r="E230" s="318">
        <f aca="true" t="shared" si="120" ref="E230:T230">(E$73-E$69)/(D$73-D$69)-1</f>
        <v>0.05734083149226721</v>
      </c>
      <c r="F230" s="166">
        <f t="shared" si="120"/>
        <v>0.11397093741096032</v>
      </c>
      <c r="G230" s="166">
        <f t="shared" si="120"/>
        <v>0.09924119703299494</v>
      </c>
      <c r="H230" s="166">
        <f t="shared" si="120"/>
        <v>0.04312417590940831</v>
      </c>
      <c r="I230" s="166">
        <f t="shared" si="120"/>
        <v>0.021562941482638154</v>
      </c>
      <c r="J230" s="166">
        <f t="shared" si="120"/>
        <v>0.0121551786884051</v>
      </c>
      <c r="K230" s="165">
        <f t="shared" si="120"/>
        <v>0.017104399360385658</v>
      </c>
      <c r="L230" s="165">
        <f t="shared" si="120"/>
        <v>0.022218872331108086</v>
      </c>
      <c r="M230" s="165">
        <f t="shared" si="120"/>
        <v>0.026400287596726635</v>
      </c>
      <c r="N230" s="165">
        <f t="shared" si="120"/>
        <v>0.02554740067569594</v>
      </c>
      <c r="O230" s="165">
        <f t="shared" si="120"/>
        <v>0.0254414816987536</v>
      </c>
      <c r="P230" s="165">
        <f t="shared" si="120"/>
        <v>0.025204132957198366</v>
      </c>
      <c r="Q230" s="165">
        <f t="shared" si="120"/>
        <v>0.024295783994141562</v>
      </c>
      <c r="R230" s="165">
        <f t="shared" si="120"/>
        <v>0.024240654302587927</v>
      </c>
      <c r="S230" s="165">
        <f t="shared" si="120"/>
        <v>0.024743779511527286</v>
      </c>
      <c r="T230" s="165">
        <f t="shared" si="120"/>
        <v>0.024401946061236135</v>
      </c>
    </row>
    <row r="231" spans="1:20" ht="12.75">
      <c r="A231" s="403" t="s">
        <v>520</v>
      </c>
      <c r="D231" s="405"/>
      <c r="E231" s="405"/>
      <c r="F231" s="405"/>
      <c r="G231" s="405"/>
      <c r="H231" s="405"/>
      <c r="I231" s="405"/>
      <c r="J231" s="405"/>
      <c r="K231" s="405"/>
      <c r="L231" s="405"/>
      <c r="M231" s="405"/>
      <c r="N231" s="405"/>
      <c r="O231" s="405"/>
      <c r="P231" s="405"/>
      <c r="Q231" s="405"/>
      <c r="R231" s="405"/>
      <c r="S231" s="405"/>
      <c r="T231" s="405"/>
    </row>
    <row r="232" spans="1:20" ht="12.75">
      <c r="A232" s="431" t="s">
        <v>203</v>
      </c>
      <c r="D232" s="405"/>
      <c r="E232" s="406">
        <f aca="true" t="shared" si="121" ref="E232:T232">SUM(E$86,E$87)/SUM(D$86,D$87)-1</f>
        <v>0.01718949173050066</v>
      </c>
      <c r="F232" s="459">
        <f t="shared" si="121"/>
        <v>0.018181509357703796</v>
      </c>
      <c r="G232" s="459">
        <f t="shared" si="121"/>
        <v>0.01921882684441889</v>
      </c>
      <c r="H232" s="459">
        <f t="shared" si="121"/>
        <v>0.018098406948925838</v>
      </c>
      <c r="I232" s="459">
        <f t="shared" si="121"/>
        <v>0.017539692243216498</v>
      </c>
      <c r="J232" s="459">
        <f t="shared" si="121"/>
        <v>0.01623403958139291</v>
      </c>
      <c r="K232" s="460">
        <f t="shared" si="121"/>
        <v>0.01616075638004255</v>
      </c>
      <c r="L232" s="460">
        <f t="shared" si="121"/>
        <v>0.01666079508523799</v>
      </c>
      <c r="M232" s="460">
        <f t="shared" si="121"/>
        <v>0.016962812056267484</v>
      </c>
      <c r="N232" s="460">
        <f t="shared" si="121"/>
        <v>0.017300765475995572</v>
      </c>
      <c r="O232" s="460">
        <f t="shared" si="121"/>
        <v>0.016371370212484138</v>
      </c>
      <c r="P232" s="460">
        <f t="shared" si="121"/>
        <v>0.01659486124485765</v>
      </c>
      <c r="Q232" s="460">
        <f t="shared" si="121"/>
        <v>0.016928248741616247</v>
      </c>
      <c r="R232" s="460">
        <f t="shared" si="121"/>
        <v>0.017466364855155625</v>
      </c>
      <c r="S232" s="460">
        <f t="shared" si="121"/>
        <v>0.018311155270667845</v>
      </c>
      <c r="T232" s="460">
        <f t="shared" si="121"/>
        <v>0.016999236203888213</v>
      </c>
    </row>
    <row r="233" spans="1:20" ht="12.75">
      <c r="A233" s="431" t="s">
        <v>263</v>
      </c>
      <c r="D233" s="405"/>
      <c r="E233" s="406">
        <f aca="true" t="shared" si="122" ref="E233:T233">E$206</f>
        <v>0.04019607843137263</v>
      </c>
      <c r="F233" s="459">
        <f t="shared" si="122"/>
        <v>0.018755890669180042</v>
      </c>
      <c r="G233" s="459">
        <f t="shared" si="122"/>
        <v>0.025206772134332533</v>
      </c>
      <c r="H233" s="459">
        <f t="shared" si="122"/>
        <v>0.01301723780079489</v>
      </c>
      <c r="I233" s="459">
        <f t="shared" si="122"/>
        <v>0.012171167792504933</v>
      </c>
      <c r="J233" s="459">
        <f t="shared" si="122"/>
        <v>0.017051945285918357</v>
      </c>
      <c r="K233" s="460">
        <f t="shared" si="122"/>
        <v>0.01905194528591836</v>
      </c>
      <c r="L233" s="460">
        <f t="shared" si="122"/>
        <v>0.02</v>
      </c>
      <c r="M233" s="460">
        <f t="shared" si="122"/>
        <v>0.02</v>
      </c>
      <c r="N233" s="460">
        <f t="shared" si="122"/>
        <v>0.02</v>
      </c>
      <c r="O233" s="460">
        <f t="shared" si="122"/>
        <v>0.02</v>
      </c>
      <c r="P233" s="460">
        <f t="shared" si="122"/>
        <v>0.02</v>
      </c>
      <c r="Q233" s="460">
        <f t="shared" si="122"/>
        <v>0.02</v>
      </c>
      <c r="R233" s="460">
        <f t="shared" si="122"/>
        <v>0.02</v>
      </c>
      <c r="S233" s="460">
        <f t="shared" si="122"/>
        <v>0.02</v>
      </c>
      <c r="T233" s="460">
        <f t="shared" si="122"/>
        <v>0.02</v>
      </c>
    </row>
    <row r="234" spans="1:20" ht="12.75">
      <c r="A234" s="431" t="s">
        <v>214</v>
      </c>
      <c r="D234" s="405"/>
      <c r="E234" s="317">
        <f aca="true" t="shared" si="123" ref="E234:T234">E$84/D$84-(1+E$232+E$233)</f>
        <v>0.03358497546825712</v>
      </c>
      <c r="F234" s="193">
        <f t="shared" si="123"/>
        <v>0.060256545268327244</v>
      </c>
      <c r="G234" s="193">
        <f t="shared" si="123"/>
        <v>0.03641344902447563</v>
      </c>
      <c r="H234" s="193">
        <f t="shared" si="123"/>
        <v>-0.03305637774964609</v>
      </c>
      <c r="I234" s="193">
        <f t="shared" si="123"/>
        <v>-0.030683113419911034</v>
      </c>
      <c r="J234" s="193">
        <f t="shared" si="123"/>
        <v>-0.035831276078570506</v>
      </c>
      <c r="K234" s="194">
        <f t="shared" si="123"/>
        <v>-0.01905194528591836</v>
      </c>
      <c r="L234" s="194">
        <f t="shared" si="123"/>
        <v>-0.020000000000000018</v>
      </c>
      <c r="M234" s="194">
        <f t="shared" si="123"/>
        <v>-0.020000000000000018</v>
      </c>
      <c r="N234" s="194">
        <f t="shared" si="123"/>
        <v>-0.019999999999999796</v>
      </c>
      <c r="O234" s="194">
        <f t="shared" si="123"/>
        <v>-0.02000000000000024</v>
      </c>
      <c r="P234" s="194">
        <f t="shared" si="123"/>
        <v>-0.020000000000000018</v>
      </c>
      <c r="Q234" s="194">
        <f t="shared" si="123"/>
        <v>-0.020000000000000018</v>
      </c>
      <c r="R234" s="194">
        <f t="shared" si="123"/>
        <v>-0.020000000000000018</v>
      </c>
      <c r="S234" s="194">
        <f t="shared" si="123"/>
        <v>-0.020000000000000018</v>
      </c>
      <c r="T234" s="194">
        <f t="shared" si="123"/>
        <v>-0.020000000000000018</v>
      </c>
    </row>
    <row r="235" spans="1:20" ht="12.75">
      <c r="A235" s="461" t="s">
        <v>205</v>
      </c>
      <c r="D235" s="405"/>
      <c r="E235" s="318">
        <f aca="true" t="shared" si="124" ref="E235:T235">E$84/D$84-1</f>
        <v>0.0909705456301304</v>
      </c>
      <c r="F235" s="166">
        <f t="shared" si="124"/>
        <v>0.09719394529521108</v>
      </c>
      <c r="G235" s="166">
        <f t="shared" si="124"/>
        <v>0.08083904800322705</v>
      </c>
      <c r="H235" s="166">
        <f t="shared" si="124"/>
        <v>-0.0019407329999253653</v>
      </c>
      <c r="I235" s="166">
        <f t="shared" si="124"/>
        <v>-0.000972253384189603</v>
      </c>
      <c r="J235" s="166">
        <f t="shared" si="124"/>
        <v>-0.0025452912112592374</v>
      </c>
      <c r="K235" s="165">
        <f t="shared" si="124"/>
        <v>0.01616075638004255</v>
      </c>
      <c r="L235" s="165">
        <f t="shared" si="124"/>
        <v>0.01666079508523799</v>
      </c>
      <c r="M235" s="165">
        <f t="shared" si="124"/>
        <v>0.016962812056267484</v>
      </c>
      <c r="N235" s="165">
        <f t="shared" si="124"/>
        <v>0.017300765475995794</v>
      </c>
      <c r="O235" s="165">
        <f t="shared" si="124"/>
        <v>0.016371370212483916</v>
      </c>
      <c r="P235" s="165">
        <f t="shared" si="124"/>
        <v>0.01659486124485765</v>
      </c>
      <c r="Q235" s="165">
        <f t="shared" si="124"/>
        <v>0.016928248741616247</v>
      </c>
      <c r="R235" s="165">
        <f t="shared" si="124"/>
        <v>0.017466364855155625</v>
      </c>
      <c r="S235" s="165">
        <f t="shared" si="124"/>
        <v>0.018311155270667845</v>
      </c>
      <c r="T235" s="165">
        <f t="shared" si="124"/>
        <v>0.016999236203888213</v>
      </c>
    </row>
    <row r="236" spans="1:20" ht="12.75">
      <c r="A236" s="403" t="s">
        <v>616</v>
      </c>
      <c r="D236" s="405"/>
      <c r="E236" s="406"/>
      <c r="F236" s="459"/>
      <c r="G236" s="459"/>
      <c r="H236" s="459"/>
      <c r="I236" s="459"/>
      <c r="J236" s="459"/>
      <c r="K236" s="460"/>
      <c r="L236" s="460"/>
      <c r="M236" s="460"/>
      <c r="N236" s="460"/>
      <c r="O236" s="460"/>
      <c r="P236" s="460"/>
      <c r="Q236" s="460"/>
      <c r="R236" s="460"/>
      <c r="S236" s="460"/>
      <c r="T236" s="460"/>
    </row>
    <row r="237" spans="1:20" ht="12.75">
      <c r="A237" s="431" t="s">
        <v>203</v>
      </c>
      <c r="D237" s="405"/>
      <c r="E237" s="406">
        <f>AVERAGE(Popn!E$198:E$200)</f>
        <v>0.01050387508174703</v>
      </c>
      <c r="F237" s="459">
        <f>AVERAGE(Popn!F$198:F$200)</f>
        <v>0.012720284478042188</v>
      </c>
      <c r="G237" s="459">
        <f>AVERAGE(Popn!G$198:G$200)</f>
        <v>0.013485052978060316</v>
      </c>
      <c r="H237" s="459">
        <f>AVERAGE(Popn!H$198:H$200)</f>
        <v>0.0093130984629863</v>
      </c>
      <c r="I237" s="459">
        <f>AVERAGE(Popn!I$198:I$200)</f>
        <v>0.0056200604403700005</v>
      </c>
      <c r="J237" s="459">
        <f>AVERAGE(Popn!J$198:J$200)</f>
        <v>0.000978146497518743</v>
      </c>
      <c r="K237" s="460">
        <f>AVERAGE(Popn!K$198:K$200)</f>
        <v>-0.000967691628689297</v>
      </c>
      <c r="L237" s="460">
        <f>AVERAGE(Popn!L$198:L$200)</f>
        <v>-0.0033895035380165175</v>
      </c>
      <c r="M237" s="460">
        <f>AVERAGE(Popn!M$198:M$200)</f>
        <v>-0.004637093281160761</v>
      </c>
      <c r="N237" s="460">
        <f>AVERAGE(Popn!N$198:N$200)</f>
        <v>-0.0035997218695373125</v>
      </c>
      <c r="O237" s="460">
        <f>AVERAGE(Popn!O$198:O$200)</f>
        <v>-0.0023690122496350754</v>
      </c>
      <c r="P237" s="460">
        <f>AVERAGE(Popn!P$198:P$200)</f>
        <v>-0.0017524527717181309</v>
      </c>
      <c r="Q237" s="460">
        <f>AVERAGE(Popn!Q$198:Q$200)</f>
        <v>-0.002486971882739016</v>
      </c>
      <c r="R237" s="460">
        <f>AVERAGE(Popn!R$198:R$200)</f>
        <v>-0.001572668010323815</v>
      </c>
      <c r="S237" s="460">
        <f>AVERAGE(Popn!S$198:S$200)</f>
        <v>0.00029901317069969124</v>
      </c>
      <c r="T237" s="460">
        <f>AVERAGE(Popn!T$198:T$200)</f>
        <v>0.00011399647173615524</v>
      </c>
    </row>
    <row r="238" spans="1:20" ht="12.75">
      <c r="A238" s="431" t="s">
        <v>263</v>
      </c>
      <c r="D238" s="405"/>
      <c r="E238" s="406">
        <f aca="true" t="shared" si="125" ref="E238:T238">E$206</f>
        <v>0.04019607843137263</v>
      </c>
      <c r="F238" s="459">
        <f t="shared" si="125"/>
        <v>0.018755890669180042</v>
      </c>
      <c r="G238" s="459">
        <f t="shared" si="125"/>
        <v>0.025206772134332533</v>
      </c>
      <c r="H238" s="459">
        <f t="shared" si="125"/>
        <v>0.01301723780079489</v>
      </c>
      <c r="I238" s="459">
        <f t="shared" si="125"/>
        <v>0.012171167792504933</v>
      </c>
      <c r="J238" s="459">
        <f t="shared" si="125"/>
        <v>0.017051945285918357</v>
      </c>
      <c r="K238" s="460">
        <f t="shared" si="125"/>
        <v>0.01905194528591836</v>
      </c>
      <c r="L238" s="460">
        <f t="shared" si="125"/>
        <v>0.02</v>
      </c>
      <c r="M238" s="460">
        <f t="shared" si="125"/>
        <v>0.02</v>
      </c>
      <c r="N238" s="460">
        <f t="shared" si="125"/>
        <v>0.02</v>
      </c>
      <c r="O238" s="460">
        <f t="shared" si="125"/>
        <v>0.02</v>
      </c>
      <c r="P238" s="460">
        <f t="shared" si="125"/>
        <v>0.02</v>
      </c>
      <c r="Q238" s="460">
        <f t="shared" si="125"/>
        <v>0.02</v>
      </c>
      <c r="R238" s="460">
        <f t="shared" si="125"/>
        <v>0.02</v>
      </c>
      <c r="S238" s="460">
        <f t="shared" si="125"/>
        <v>0.02</v>
      </c>
      <c r="T238" s="460">
        <f t="shared" si="125"/>
        <v>0.02</v>
      </c>
    </row>
    <row r="239" spans="1:20" ht="12.75">
      <c r="A239" s="431" t="s">
        <v>153</v>
      </c>
      <c r="D239" s="405"/>
      <c r="E239" s="317">
        <f aca="true" t="shared" si="126" ref="E239:T239">E$90/D$90-(1+E$237+E$238)</f>
        <v>-0.02027595955476391</v>
      </c>
      <c r="F239" s="193">
        <f t="shared" si="126"/>
        <v>0.116466448661803</v>
      </c>
      <c r="G239" s="193">
        <f t="shared" si="126"/>
        <v>-0.009505396801557486</v>
      </c>
      <c r="H239" s="193">
        <f t="shared" si="126"/>
        <v>-0.020557915136521387</v>
      </c>
      <c r="I239" s="193">
        <f t="shared" si="126"/>
        <v>-0.017171978409803446</v>
      </c>
      <c r="J239" s="193">
        <f t="shared" si="126"/>
        <v>-0.01617349201330165</v>
      </c>
      <c r="K239" s="194">
        <f t="shared" si="126"/>
        <v>-0.019051945285918137</v>
      </c>
      <c r="L239" s="194">
        <f t="shared" si="126"/>
        <v>-0.02000000000000013</v>
      </c>
      <c r="M239" s="194">
        <f t="shared" si="126"/>
        <v>-0.02000000000000013</v>
      </c>
      <c r="N239" s="194">
        <f t="shared" si="126"/>
        <v>-0.020000000000000018</v>
      </c>
      <c r="O239" s="194">
        <f t="shared" si="126"/>
        <v>-0.019999999999999796</v>
      </c>
      <c r="P239" s="194">
        <f t="shared" si="126"/>
        <v>-0.020000000000000018</v>
      </c>
      <c r="Q239" s="194">
        <f t="shared" si="126"/>
        <v>-0.019999999999999907</v>
      </c>
      <c r="R239" s="194">
        <f t="shared" si="126"/>
        <v>-0.020000000000000018</v>
      </c>
      <c r="S239" s="194">
        <f t="shared" si="126"/>
        <v>-0.020000000000000018</v>
      </c>
      <c r="T239" s="194">
        <f t="shared" si="126"/>
        <v>-0.020000000000000018</v>
      </c>
    </row>
    <row r="240" spans="1:20" ht="12.75">
      <c r="A240" s="461" t="s">
        <v>205</v>
      </c>
      <c r="D240" s="405"/>
      <c r="E240" s="318">
        <f aca="true" t="shared" si="127" ref="E240:T240">E$90/D$90-1</f>
        <v>0.03042399395835571</v>
      </c>
      <c r="F240" s="166">
        <f t="shared" si="127"/>
        <v>0.14794262380902534</v>
      </c>
      <c r="G240" s="166">
        <f t="shared" si="127"/>
        <v>0.0291864283108354</v>
      </c>
      <c r="H240" s="166">
        <f t="shared" si="127"/>
        <v>0.0017724211272598378</v>
      </c>
      <c r="I240" s="166">
        <f t="shared" si="127"/>
        <v>0.0006192498230714882</v>
      </c>
      <c r="J240" s="166">
        <f t="shared" si="127"/>
        <v>0.0018565997701354142</v>
      </c>
      <c r="K240" s="165">
        <f t="shared" si="127"/>
        <v>-0.000967691628689149</v>
      </c>
      <c r="L240" s="165">
        <f t="shared" si="127"/>
        <v>-0.0033895035380165917</v>
      </c>
      <c r="M240" s="165">
        <f t="shared" si="127"/>
        <v>-0.004637093281160909</v>
      </c>
      <c r="N240" s="165">
        <f t="shared" si="127"/>
        <v>-0.0035997218695373867</v>
      </c>
      <c r="O240" s="165">
        <f t="shared" si="127"/>
        <v>-0.0023690122496349275</v>
      </c>
      <c r="P240" s="165">
        <f t="shared" si="127"/>
        <v>-0.0017524527717180938</v>
      </c>
      <c r="Q240" s="165">
        <f t="shared" si="127"/>
        <v>-0.002486971882739053</v>
      </c>
      <c r="R240" s="165">
        <f t="shared" si="127"/>
        <v>-0.0015726680103238522</v>
      </c>
      <c r="S240" s="165">
        <f t="shared" si="127"/>
        <v>0.00029901317069969124</v>
      </c>
      <c r="T240" s="165">
        <f t="shared" si="127"/>
        <v>0.00011399647173604421</v>
      </c>
    </row>
    <row r="241" spans="1:20" ht="12.75">
      <c r="A241" s="403" t="s">
        <v>215</v>
      </c>
      <c r="D241" s="405"/>
      <c r="E241" s="406"/>
      <c r="F241" s="459"/>
      <c r="G241" s="459"/>
      <c r="H241" s="459"/>
      <c r="I241" s="459"/>
      <c r="J241" s="459"/>
      <c r="K241" s="460"/>
      <c r="L241" s="460"/>
      <c r="M241" s="460"/>
      <c r="N241" s="460"/>
      <c r="O241" s="460"/>
      <c r="P241" s="460"/>
      <c r="Q241" s="460"/>
      <c r="R241" s="460"/>
      <c r="S241" s="460"/>
      <c r="T241" s="460"/>
    </row>
    <row r="242" spans="1:20" ht="12.75">
      <c r="A242" s="431" t="s">
        <v>263</v>
      </c>
      <c r="D242" s="405"/>
      <c r="E242" s="406">
        <f aca="true" t="shared" si="128" ref="E242:T242">E$206</f>
        <v>0.04019607843137263</v>
      </c>
      <c r="F242" s="459">
        <f t="shared" si="128"/>
        <v>0.018755890669180042</v>
      </c>
      <c r="G242" s="459">
        <f t="shared" si="128"/>
        <v>0.025206772134332533</v>
      </c>
      <c r="H242" s="459">
        <f t="shared" si="128"/>
        <v>0.01301723780079489</v>
      </c>
      <c r="I242" s="459">
        <f t="shared" si="128"/>
        <v>0.012171167792504933</v>
      </c>
      <c r="J242" s="459">
        <f t="shared" si="128"/>
        <v>0.017051945285918357</v>
      </c>
      <c r="K242" s="460">
        <f t="shared" si="128"/>
        <v>0.01905194528591836</v>
      </c>
      <c r="L242" s="460">
        <f t="shared" si="128"/>
        <v>0.02</v>
      </c>
      <c r="M242" s="460">
        <f t="shared" si="128"/>
        <v>0.02</v>
      </c>
      <c r="N242" s="460">
        <f t="shared" si="128"/>
        <v>0.02</v>
      </c>
      <c r="O242" s="460">
        <f t="shared" si="128"/>
        <v>0.02</v>
      </c>
      <c r="P242" s="460">
        <f t="shared" si="128"/>
        <v>0.02</v>
      </c>
      <c r="Q242" s="460">
        <f t="shared" si="128"/>
        <v>0.02</v>
      </c>
      <c r="R242" s="460">
        <f t="shared" si="128"/>
        <v>0.02</v>
      </c>
      <c r="S242" s="460">
        <f t="shared" si="128"/>
        <v>0.02</v>
      </c>
      <c r="T242" s="460">
        <f t="shared" si="128"/>
        <v>0.02</v>
      </c>
    </row>
    <row r="243" spans="1:20" ht="12.75">
      <c r="A243" s="431" t="s">
        <v>513</v>
      </c>
      <c r="D243" s="405"/>
      <c r="E243" s="317">
        <f aca="true" t="shared" si="129" ref="E243:T243">E$102/D$102-(1+E$242)</f>
        <v>-0.00551475399739787</v>
      </c>
      <c r="F243" s="193">
        <f t="shared" si="129"/>
        <v>0.05776826819750336</v>
      </c>
      <c r="G243" s="193">
        <f t="shared" si="129"/>
        <v>-0.041891063051968436</v>
      </c>
      <c r="H243" s="193">
        <f t="shared" si="129"/>
        <v>-0.04378554942703461</v>
      </c>
      <c r="I243" s="193">
        <f t="shared" si="129"/>
        <v>0.014704255988546633</v>
      </c>
      <c r="J243" s="193">
        <f t="shared" si="129"/>
        <v>0.019024649947889438</v>
      </c>
      <c r="K243" s="194">
        <f t="shared" si="129"/>
        <v>-0.03140444751475868</v>
      </c>
      <c r="L243" s="194">
        <f t="shared" si="129"/>
        <v>-0.010283496176175078</v>
      </c>
      <c r="M243" s="194">
        <f t="shared" si="129"/>
        <v>-0.010276836594360628</v>
      </c>
      <c r="N243" s="194">
        <f t="shared" si="129"/>
        <v>-0.011483060307965864</v>
      </c>
      <c r="O243" s="194">
        <f t="shared" si="129"/>
        <v>-0.011232195270594492</v>
      </c>
      <c r="P243" s="194">
        <f t="shared" si="129"/>
        <v>-0.016762099516166806</v>
      </c>
      <c r="Q243" s="194">
        <f t="shared" si="129"/>
        <v>-0.017211793122530405</v>
      </c>
      <c r="R243" s="194">
        <f t="shared" si="129"/>
        <v>-0.03070544710298151</v>
      </c>
      <c r="S243" s="194">
        <f t="shared" si="129"/>
        <v>-0.015701815892861015</v>
      </c>
      <c r="T243" s="194">
        <f t="shared" si="129"/>
        <v>-0.015329136498671403</v>
      </c>
    </row>
    <row r="244" spans="1:20" ht="12.75">
      <c r="A244" s="461" t="s">
        <v>205</v>
      </c>
      <c r="D244" s="405"/>
      <c r="E244" s="318">
        <f aca="true" t="shared" si="130" ref="E244:T244">E$102/D$102-1</f>
        <v>0.03468132443397476</v>
      </c>
      <c r="F244" s="166">
        <f t="shared" si="130"/>
        <v>0.0765241588666834</v>
      </c>
      <c r="G244" s="166">
        <f t="shared" si="130"/>
        <v>-0.016684290917635902</v>
      </c>
      <c r="H244" s="166">
        <f t="shared" si="130"/>
        <v>-0.03076831162623972</v>
      </c>
      <c r="I244" s="166">
        <f t="shared" si="130"/>
        <v>0.026875423781051566</v>
      </c>
      <c r="J244" s="166">
        <f t="shared" si="130"/>
        <v>0.036076595233807796</v>
      </c>
      <c r="K244" s="165">
        <f t="shared" si="130"/>
        <v>-0.012352502228840323</v>
      </c>
      <c r="L244" s="165">
        <f t="shared" si="130"/>
        <v>0.00971650382382494</v>
      </c>
      <c r="M244" s="165">
        <f t="shared" si="130"/>
        <v>0.00972316340563939</v>
      </c>
      <c r="N244" s="165">
        <f t="shared" si="130"/>
        <v>0.008516939692034153</v>
      </c>
      <c r="O244" s="165">
        <f t="shared" si="130"/>
        <v>0.008767804729405526</v>
      </c>
      <c r="P244" s="165">
        <f t="shared" si="130"/>
        <v>0.0032379004838332115</v>
      </c>
      <c r="Q244" s="165">
        <f t="shared" si="130"/>
        <v>0.0027882068774696123</v>
      </c>
      <c r="R244" s="165">
        <f t="shared" si="130"/>
        <v>-0.010705447102981491</v>
      </c>
      <c r="S244" s="165">
        <f t="shared" si="130"/>
        <v>0.0042981841071390026</v>
      </c>
      <c r="T244" s="165">
        <f t="shared" si="130"/>
        <v>0.004670863501328615</v>
      </c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1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" sqref="N5"/>
    </sheetView>
  </sheetViews>
  <sheetFormatPr defaultColWidth="9.140625" defaultRowHeight="12.75"/>
  <cols>
    <col min="1" max="1" width="65.7109375" style="168" customWidth="1"/>
    <col min="2" max="2" width="8.7109375" style="0" customWidth="1"/>
    <col min="3" max="3" width="8.7109375" style="97" customWidth="1"/>
    <col min="4" max="10" width="8.7109375" style="171" customWidth="1"/>
    <col min="11" max="19" width="8.7109375" style="98" customWidth="1"/>
  </cols>
  <sheetData>
    <row r="1" spans="1:16" ht="15.75">
      <c r="A1" s="231" t="s">
        <v>459</v>
      </c>
      <c r="B1" s="43" t="s">
        <v>943</v>
      </c>
      <c r="C1" s="230">
        <f>MATCH($B$1,Scenarios!$B$3:$D$3,0)</f>
        <v>2</v>
      </c>
      <c r="D1" s="276" t="s">
        <v>126</v>
      </c>
      <c r="E1" s="277"/>
      <c r="F1" s="278" t="s">
        <v>127</v>
      </c>
      <c r="G1" s="279" t="s">
        <v>128</v>
      </c>
      <c r="H1" s="280"/>
      <c r="I1" s="281" t="s">
        <v>127</v>
      </c>
      <c r="J1" s="361" t="s">
        <v>860</v>
      </c>
      <c r="K1" s="359"/>
      <c r="L1" s="360" t="s">
        <v>127</v>
      </c>
      <c r="M1" s="468" t="s">
        <v>896</v>
      </c>
      <c r="N1" s="469"/>
      <c r="O1" s="470" t="s">
        <v>127</v>
      </c>
      <c r="P1" s="334" t="s">
        <v>897</v>
      </c>
    </row>
    <row r="2" spans="1:19" ht="13.5">
      <c r="A2" s="232" t="s">
        <v>806</v>
      </c>
      <c r="B2" s="333"/>
      <c r="C2" s="334" t="s">
        <v>694</v>
      </c>
      <c r="D2"/>
      <c r="E2"/>
      <c r="F2"/>
      <c r="G2"/>
      <c r="H2"/>
      <c r="I2"/>
      <c r="J2"/>
      <c r="K2" s="161" t="s">
        <v>162</v>
      </c>
      <c r="L2"/>
      <c r="M2" s="334" t="s">
        <v>898</v>
      </c>
      <c r="N2"/>
      <c r="O2"/>
      <c r="P2"/>
      <c r="Q2"/>
      <c r="R2"/>
      <c r="S2"/>
    </row>
    <row r="3" spans="1:20" ht="15.75">
      <c r="A3" s="74" t="s">
        <v>145</v>
      </c>
      <c r="B3" s="229"/>
      <c r="C3" s="229"/>
      <c r="D3" s="229" t="s">
        <v>536</v>
      </c>
      <c r="E3" s="229" t="s">
        <v>537</v>
      </c>
      <c r="F3" s="185" t="s">
        <v>538</v>
      </c>
      <c r="G3" s="185" t="s">
        <v>539</v>
      </c>
      <c r="H3" s="185" t="s">
        <v>540</v>
      </c>
      <c r="I3" s="185" t="s">
        <v>541</v>
      </c>
      <c r="J3" s="185" t="s">
        <v>542</v>
      </c>
      <c r="K3" s="184" t="s">
        <v>543</v>
      </c>
      <c r="L3" s="184" t="s">
        <v>544</v>
      </c>
      <c r="M3" s="184" t="s">
        <v>545</v>
      </c>
      <c r="N3" s="184" t="s">
        <v>546</v>
      </c>
      <c r="O3" s="184" t="s">
        <v>547</v>
      </c>
      <c r="P3" s="184" t="s">
        <v>548</v>
      </c>
      <c r="Q3" s="184" t="s">
        <v>549</v>
      </c>
      <c r="R3" s="184" t="s">
        <v>550</v>
      </c>
      <c r="S3" s="184" t="s">
        <v>551</v>
      </c>
      <c r="T3" s="184" t="s">
        <v>552</v>
      </c>
    </row>
    <row r="4" spans="1:20" ht="13.5">
      <c r="A4" s="222" t="s">
        <v>409</v>
      </c>
      <c r="B4" s="316" t="s">
        <v>425</v>
      </c>
      <c r="C4"/>
      <c r="D4" s="358">
        <v>1</v>
      </c>
      <c r="E4" s="358">
        <v>2</v>
      </c>
      <c r="F4" s="182">
        <v>3</v>
      </c>
      <c r="G4" s="182">
        <v>4</v>
      </c>
      <c r="H4" s="182">
        <v>5</v>
      </c>
      <c r="I4" s="182">
        <v>6</v>
      </c>
      <c r="J4" s="182">
        <v>7</v>
      </c>
      <c r="K4" s="181">
        <v>8</v>
      </c>
      <c r="L4" s="181">
        <v>9</v>
      </c>
      <c r="M4" s="181">
        <v>10</v>
      </c>
      <c r="N4" s="181">
        <v>11</v>
      </c>
      <c r="O4" s="181">
        <v>12</v>
      </c>
      <c r="P4" s="181">
        <v>13</v>
      </c>
      <c r="Q4" s="181">
        <v>14</v>
      </c>
      <c r="R4" s="181">
        <v>15</v>
      </c>
      <c r="S4" s="181">
        <v>16</v>
      </c>
      <c r="T4" s="181">
        <v>17</v>
      </c>
    </row>
    <row r="5" spans="1:20" ht="21" customHeight="1">
      <c r="A5" s="46"/>
      <c r="C5"/>
      <c r="D5" s="163">
        <f ca="1">OFFSET(D$7,Offsets!$B$1,0)/D$203</f>
        <v>0.07802051615573358</v>
      </c>
      <c r="E5" s="163">
        <f ca="1">OFFSET(E$7,Offsets!$B$1,0)/E$203</f>
        <v>0.05723468004262749</v>
      </c>
      <c r="F5" s="167">
        <f ca="1">OFFSET(F$7,Offsets!$B$1,0)/F$203</f>
        <v>0.08672252089193949</v>
      </c>
      <c r="G5" s="167">
        <f ca="1">OFFSET(G$7,Offsets!$B$1,0)/G$203</f>
        <v>0.15606298969639396</v>
      </c>
      <c r="H5" s="167">
        <f ca="1">OFFSET(H$7,Offsets!$B$1,0)/H$203</f>
        <v>0.21759899631643337</v>
      </c>
      <c r="I5" s="167">
        <f ca="1">OFFSET(I$7,Offsets!$B$1,0)/I$203</f>
        <v>0.27103055408987486</v>
      </c>
      <c r="J5" s="167">
        <f ca="1">OFFSET(J$7,Offsets!$B$1,0)/J$203</f>
        <v>0.309266367679768</v>
      </c>
      <c r="K5" s="164">
        <f ca="1">OFFSET(K$7,Offsets!$B$1,0)/K$203</f>
        <v>0.3354742090451466</v>
      </c>
      <c r="L5" s="164">
        <f ca="1">OFFSET(L$7,Offsets!$B$1,0)/L$203</f>
        <v>0.3500116185893337</v>
      </c>
      <c r="M5" s="164">
        <f ca="1">OFFSET(M$7,Offsets!$B$1,0)/M$203</f>
        <v>0.356298685385284</v>
      </c>
      <c r="N5" s="164">
        <f ca="1">OFFSET(N$7,Offsets!$B$1,0)/N$203</f>
        <v>0.3587999227910574</v>
      </c>
      <c r="O5" s="164">
        <f ca="1">OFFSET(O$7,Offsets!$B$1,0)/O$203</f>
        <v>0.357245170650364</v>
      </c>
      <c r="P5" s="164">
        <f ca="1">OFFSET(P$7,Offsets!$B$1,0)/P$203</f>
        <v>0.3513157805102691</v>
      </c>
      <c r="Q5" s="164">
        <f ca="1">OFFSET(Q$7,Offsets!$B$1,0)/Q$203</f>
        <v>0.3409091804165225</v>
      </c>
      <c r="R5" s="164">
        <f ca="1">OFFSET(R$7,Offsets!$B$1,0)/R$203</f>
        <v>0.3344261731108219</v>
      </c>
      <c r="S5" s="164">
        <f ca="1">OFFSET(S$7,Offsets!$B$1,0)/S$203</f>
        <v>0.3227601340012857</v>
      </c>
      <c r="T5" s="164">
        <f ca="1">OFFSET(T$7,Offsets!$B$1,0)/T$203</f>
        <v>0.30585480330236625</v>
      </c>
    </row>
    <row r="6" spans="1:20" ht="15.75" customHeight="1">
      <c r="A6" s="218" t="s">
        <v>450</v>
      </c>
      <c r="C6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</row>
    <row r="7" spans="1:20" ht="12.75">
      <c r="A7" s="46" t="s">
        <v>173</v>
      </c>
      <c r="C7"/>
      <c r="D7" s="97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ht="12.75">
      <c r="A8" s="323" t="s">
        <v>779</v>
      </c>
      <c r="B8" s="94"/>
      <c r="C8"/>
      <c r="D8" s="94">
        <f aca="true" t="shared" si="0" ref="D8:T8">D$50</f>
        <v>53.06400000000001</v>
      </c>
      <c r="E8" s="94">
        <f t="shared" si="0"/>
        <v>56.372</v>
      </c>
      <c r="F8" s="169">
        <f t="shared" si="0"/>
        <v>53.522999999999996</v>
      </c>
      <c r="G8" s="169">
        <f t="shared" si="0"/>
        <v>51.05200000000001</v>
      </c>
      <c r="H8" s="169">
        <f t="shared" si="0"/>
        <v>51.326</v>
      </c>
      <c r="I8" s="169">
        <f t="shared" si="0"/>
        <v>54.013</v>
      </c>
      <c r="J8" s="169">
        <f t="shared" si="0"/>
        <v>57.78099999999999</v>
      </c>
      <c r="K8" s="98">
        <f t="shared" si="0"/>
        <v>62.09633243918236</v>
      </c>
      <c r="L8" s="98">
        <f t="shared" si="0"/>
        <v>66.53822231592298</v>
      </c>
      <c r="M8" s="98">
        <f t="shared" si="0"/>
        <v>70.84463752033696</v>
      </c>
      <c r="N8" s="98">
        <f t="shared" si="0"/>
        <v>74.35320679803861</v>
      </c>
      <c r="O8" s="98">
        <f t="shared" si="0"/>
        <v>77.91174535308241</v>
      </c>
      <c r="P8" s="98">
        <f t="shared" si="0"/>
        <v>81.6256383291788</v>
      </c>
      <c r="Q8" s="98">
        <f t="shared" si="0"/>
        <v>85.50461128083344</v>
      </c>
      <c r="R8" s="98">
        <f t="shared" si="0"/>
        <v>89.53927323450941</v>
      </c>
      <c r="S8" s="98">
        <f t="shared" si="0"/>
        <v>93.7845385177917</v>
      </c>
      <c r="T8" s="98">
        <f t="shared" si="0"/>
        <v>98.22192615976704</v>
      </c>
    </row>
    <row r="9" spans="1:20" ht="12.75">
      <c r="A9" s="323" t="s">
        <v>377</v>
      </c>
      <c r="B9" s="94"/>
      <c r="C9"/>
      <c r="D9" s="94">
        <f aca="true" t="shared" si="1" ref="D9:T9">SUM(D$8,D$58,D$66)</f>
        <v>74.58900000000001</v>
      </c>
      <c r="E9" s="94">
        <f t="shared" si="1"/>
        <v>81.479</v>
      </c>
      <c r="F9" s="169">
        <f t="shared" si="1"/>
        <v>78.95899999999999</v>
      </c>
      <c r="G9" s="169">
        <f t="shared" si="1"/>
        <v>77.93400000000001</v>
      </c>
      <c r="H9" s="169">
        <f t="shared" si="1"/>
        <v>80.489</v>
      </c>
      <c r="I9" s="169">
        <f t="shared" si="1"/>
        <v>83.853</v>
      </c>
      <c r="J9" s="169">
        <f t="shared" si="1"/>
        <v>89.112</v>
      </c>
      <c r="K9" s="98">
        <f t="shared" si="1"/>
        <v>94.86715261269045</v>
      </c>
      <c r="L9" s="98">
        <f t="shared" si="1"/>
        <v>100.98232348002225</v>
      </c>
      <c r="M9" s="98">
        <f t="shared" si="1"/>
        <v>106.97535930622124</v>
      </c>
      <c r="N9" s="98">
        <f t="shared" si="1"/>
        <v>111.91981492758407</v>
      </c>
      <c r="O9" s="98">
        <f t="shared" si="1"/>
        <v>116.92507825301367</v>
      </c>
      <c r="P9" s="98">
        <f t="shared" si="1"/>
        <v>122.03761604421278</v>
      </c>
      <c r="Q9" s="98">
        <f t="shared" si="1"/>
        <v>127.37048988848844</v>
      </c>
      <c r="R9" s="98">
        <f t="shared" si="1"/>
        <v>132.94080135638012</v>
      </c>
      <c r="S9" s="98">
        <f t="shared" si="1"/>
        <v>138.83000278449836</v>
      </c>
      <c r="T9" s="98">
        <f t="shared" si="1"/>
        <v>144.97809028419206</v>
      </c>
    </row>
    <row r="10" spans="1:20" ht="12.75">
      <c r="A10" s="323" t="s">
        <v>378</v>
      </c>
      <c r="B10" s="94"/>
      <c r="C10"/>
      <c r="D10" s="94">
        <f aca="true" t="shared" si="2" ref="D10:T10">SUM(D$11,D$107)</f>
        <v>68.729</v>
      </c>
      <c r="E10" s="94">
        <f t="shared" si="2"/>
        <v>75.842</v>
      </c>
      <c r="F10" s="169">
        <f t="shared" si="2"/>
        <v>81.875</v>
      </c>
      <c r="G10" s="169">
        <f t="shared" si="2"/>
        <v>85.67300000000002</v>
      </c>
      <c r="H10" s="169">
        <f t="shared" si="2"/>
        <v>89.75399999999999</v>
      </c>
      <c r="I10" s="169">
        <f t="shared" si="2"/>
        <v>93.436</v>
      </c>
      <c r="J10" s="169">
        <f t="shared" si="2"/>
        <v>97.53499999999998</v>
      </c>
      <c r="K10" s="98">
        <f t="shared" si="2"/>
        <v>101.01194826887848</v>
      </c>
      <c r="L10" s="98">
        <f t="shared" si="2"/>
        <v>105.22715259218785</v>
      </c>
      <c r="M10" s="98">
        <f t="shared" si="2"/>
        <v>109.48861289754728</v>
      </c>
      <c r="N10" s="98">
        <f t="shared" si="2"/>
        <v>113.53444439222864</v>
      </c>
      <c r="O10" s="98">
        <f t="shared" si="2"/>
        <v>117.46471776473014</v>
      </c>
      <c r="P10" s="98">
        <f t="shared" si="2"/>
        <v>121.38569178259183</v>
      </c>
      <c r="Q10" s="98">
        <f t="shared" si="2"/>
        <v>125.35901291718605</v>
      </c>
      <c r="R10" s="98">
        <f t="shared" si="2"/>
        <v>129.18696223608654</v>
      </c>
      <c r="S10" s="98">
        <f t="shared" si="2"/>
        <v>133.5230220744334</v>
      </c>
      <c r="T10" s="98">
        <f t="shared" si="2"/>
        <v>137.90420927026204</v>
      </c>
    </row>
    <row r="11" spans="1:20" ht="12.75">
      <c r="A11" s="323" t="s">
        <v>383</v>
      </c>
      <c r="B11" s="94"/>
      <c r="C11"/>
      <c r="D11" s="94">
        <f>SUM($D$109:D$109,D$75,D$85,D$91,D$103)</f>
        <v>65.844</v>
      </c>
      <c r="E11" s="94">
        <f>SUM($D$109:E$109,E$75,E$85,E$91,E$103)</f>
        <v>72.741</v>
      </c>
      <c r="F11" s="169">
        <f>SUM($D$109:F$109,F$75,F$85,F$91,F$103)</f>
        <v>78.517</v>
      </c>
      <c r="G11" s="169">
        <f>SUM($D$109:G$109,G$75,G$85,G$91,G$103)</f>
        <v>82.32400000000001</v>
      </c>
      <c r="H11" s="169">
        <f>SUM($D$109:H$109,H$75,H$85,H$91,H$103)</f>
        <v>85.73499999999999</v>
      </c>
      <c r="I11" s="169">
        <f>SUM($D$109:I$109,I$75,I$85,I$91,I$103)</f>
        <v>88.811</v>
      </c>
      <c r="J11" s="169">
        <f>SUM($D$109:J$109,J$75,J$85,J$91,J$103)</f>
        <v>92.07499999999999</v>
      </c>
      <c r="K11" s="98">
        <f>SUM($D$109:K$109,K$75,K$85,K$91,K$103)</f>
        <v>94.91322706887848</v>
      </c>
      <c r="L11" s="98">
        <f>SUM($D$109:L$109,L$75,L$85,L$91,L$103)</f>
        <v>98.42615175587801</v>
      </c>
      <c r="M11" s="98">
        <f>SUM($D$109:M$109,M$75,M$85,M$91,M$103)</f>
        <v>102.05050721303363</v>
      </c>
      <c r="N11" s="98">
        <f>SUM($D$109:N$109,N$75,N$85,N$91,N$103)</f>
        <v>105.55491305696893</v>
      </c>
      <c r="O11" s="98">
        <f>SUM($D$109:O$109,O$75,O$85,O$91,O$103)</f>
        <v>109.14337360524941</v>
      </c>
      <c r="P11" s="98">
        <f>SUM($D$109:P$109,P$75,P$85,P$91,P$103)</f>
        <v>112.77653857873807</v>
      </c>
      <c r="Q11" s="98">
        <f>SUM($D$109:Q$109,Q$75,Q$85,Q$91,Q$103)</f>
        <v>116.51895699685956</v>
      </c>
      <c r="R11" s="98">
        <f>SUM($D$109:R$109,R$75,R$85,R$91,R$103)</f>
        <v>120.18231406856133</v>
      </c>
      <c r="S11" s="98">
        <f>SUM($D$109:S$109,S$75,S$85,S$91,S$103)</f>
        <v>124.30789830138184</v>
      </c>
      <c r="T11" s="98">
        <f>SUM($D$109:T$109,T$75,T$85,T$91,T$103)</f>
        <v>128.56168410923453</v>
      </c>
    </row>
    <row r="12" spans="1:20" ht="12.75">
      <c r="A12" s="323" t="s">
        <v>379</v>
      </c>
      <c r="B12" s="94"/>
      <c r="C12"/>
      <c r="D12" s="94">
        <f>D$9-D$10</f>
        <v>5.860000000000014</v>
      </c>
      <c r="E12" s="94">
        <f aca="true" t="shared" si="3" ref="E12:T12">E$9-E$10</f>
        <v>5.6370000000000005</v>
      </c>
      <c r="F12" s="169">
        <f t="shared" si="3"/>
        <v>-2.916000000000011</v>
      </c>
      <c r="G12" s="169">
        <f t="shared" si="3"/>
        <v>-7.739000000000004</v>
      </c>
      <c r="H12" s="169">
        <f t="shared" si="3"/>
        <v>-9.264999999999986</v>
      </c>
      <c r="I12" s="169">
        <f t="shared" si="3"/>
        <v>-9.583000000000013</v>
      </c>
      <c r="J12" s="169">
        <f t="shared" si="3"/>
        <v>-8.422999999999988</v>
      </c>
      <c r="K12" s="98">
        <f t="shared" si="3"/>
        <v>-6.1447956561880375</v>
      </c>
      <c r="L12" s="98">
        <f t="shared" si="3"/>
        <v>-4.244829112165604</v>
      </c>
      <c r="M12" s="98">
        <f t="shared" si="3"/>
        <v>-2.5132535913260483</v>
      </c>
      <c r="N12" s="98">
        <f t="shared" si="3"/>
        <v>-1.6146294646445654</v>
      </c>
      <c r="O12" s="98">
        <f t="shared" si="3"/>
        <v>-0.539639511716473</v>
      </c>
      <c r="P12" s="98">
        <f t="shared" si="3"/>
        <v>0.6519242616209482</v>
      </c>
      <c r="Q12" s="98">
        <f t="shared" si="3"/>
        <v>2.011476971302386</v>
      </c>
      <c r="R12" s="98">
        <f t="shared" si="3"/>
        <v>3.753839120293577</v>
      </c>
      <c r="S12" s="98">
        <f t="shared" si="3"/>
        <v>5.306980710064948</v>
      </c>
      <c r="T12" s="98">
        <f t="shared" si="3"/>
        <v>7.07388101393002</v>
      </c>
    </row>
    <row r="13" spans="1:20" ht="12.75">
      <c r="A13" s="323" t="s">
        <v>780</v>
      </c>
      <c r="B13" s="94"/>
      <c r="C13"/>
      <c r="D13" s="94">
        <f aca="true" t="shared" si="4" ref="D13:T13">D$12-(D$131-D$134-D$138)</f>
        <v>6.250000000000013</v>
      </c>
      <c r="E13" s="94">
        <f t="shared" si="4"/>
        <v>5.586</v>
      </c>
      <c r="F13" s="169">
        <f t="shared" si="4"/>
        <v>-3.295000000000011</v>
      </c>
      <c r="G13" s="169">
        <f t="shared" si="4"/>
        <v>-8.025000000000004</v>
      </c>
      <c r="H13" s="169">
        <f t="shared" si="4"/>
        <v>-9.573999999999986</v>
      </c>
      <c r="I13" s="169">
        <f t="shared" si="4"/>
        <v>-9.751000000000012</v>
      </c>
      <c r="J13" s="169">
        <f t="shared" si="4"/>
        <v>-8.384999999999987</v>
      </c>
      <c r="K13" s="98">
        <f t="shared" si="4"/>
        <v>-6.11226834342208</v>
      </c>
      <c r="L13" s="98">
        <f t="shared" si="4"/>
        <v>-4.210163453858413</v>
      </c>
      <c r="M13" s="98">
        <f t="shared" si="4"/>
        <v>-2.476309012641742</v>
      </c>
      <c r="N13" s="98">
        <f t="shared" si="4"/>
        <v>-1.5752561493575528</v>
      </c>
      <c r="O13" s="98">
        <f t="shared" si="4"/>
        <v>-0.4976777946824922</v>
      </c>
      <c r="P13" s="98">
        <f t="shared" si="4"/>
        <v>0.6966445419327429</v>
      </c>
      <c r="Q13" s="98">
        <f t="shared" si="4"/>
        <v>2.059137162841878</v>
      </c>
      <c r="R13" s="98">
        <f t="shared" si="4"/>
        <v>3.806943619465965</v>
      </c>
      <c r="S13" s="98">
        <f t="shared" si="4"/>
        <v>5.368340214286671</v>
      </c>
      <c r="T13" s="98">
        <f t="shared" si="4"/>
        <v>7.143827243741741</v>
      </c>
    </row>
    <row r="14" spans="1:20" ht="12.75">
      <c r="A14" s="323" t="s">
        <v>653</v>
      </c>
      <c r="B14" s="335"/>
      <c r="C14"/>
      <c r="D14" s="94">
        <f>SUM(Data!C$12:C$15)</f>
        <v>2.163</v>
      </c>
      <c r="E14" s="94">
        <f>SUM(Data!D$12:D$15)</f>
        <v>-3.253</v>
      </c>
      <c r="F14" s="169">
        <f>SUM(Data!E$12:E$15)+IF($L$1="Yes",F$283,0)</f>
        <v>-6.387</v>
      </c>
      <c r="G14" s="169">
        <f>SUM(Data!F$12:F$15)+IF($L$1="Yes",G$283,0)</f>
        <v>2.0100000000000002</v>
      </c>
      <c r="H14" s="169">
        <f>SUM(Data!G$12:G$15)+IF($L$1="Yes",H$283,0)</f>
        <v>2.154</v>
      </c>
      <c r="I14" s="169">
        <f>SUM(Data!H$12:H$15)+IF($L$1="Yes",I$283,0)</f>
        <v>2.468</v>
      </c>
      <c r="J14" s="169">
        <f>SUM(Data!I$12:I$15)+IF($L$1="Yes",J$283,0)</f>
        <v>2.6500000000000004</v>
      </c>
      <c r="K14" s="98">
        <f aca="true" t="shared" si="5" ref="K14:T14">SUM(J$14,(K$132-J$132),(J$14-J$21)*K$204)</f>
        <v>2.4827000225999734</v>
      </c>
      <c r="L14" s="98">
        <f t="shared" si="5"/>
        <v>2.628159311391742</v>
      </c>
      <c r="M14" s="98">
        <f t="shared" si="5"/>
        <v>2.779701600033087</v>
      </c>
      <c r="N14" s="98">
        <f t="shared" si="5"/>
        <v>2.927560298796543</v>
      </c>
      <c r="O14" s="98">
        <f t="shared" si="5"/>
        <v>3.082109976604055</v>
      </c>
      <c r="P14" s="98">
        <f t="shared" si="5"/>
        <v>3.2453963362632026</v>
      </c>
      <c r="Q14" s="98">
        <f t="shared" si="5"/>
        <v>3.417985063408004</v>
      </c>
      <c r="R14" s="98">
        <f t="shared" si="5"/>
        <v>3.693897596497539</v>
      </c>
      <c r="S14" s="98">
        <f t="shared" si="5"/>
        <v>4.086355119110676</v>
      </c>
      <c r="T14" s="98">
        <f t="shared" si="5"/>
        <v>4.494496898956556</v>
      </c>
    </row>
    <row r="15" spans="1:20" ht="12.75">
      <c r="A15" s="323" t="s">
        <v>138</v>
      </c>
      <c r="B15" s="95"/>
      <c r="C15"/>
      <c r="D15" s="94">
        <f aca="true" t="shared" si="6" ref="D15:T15">SUM(D$12,D$14)</f>
        <v>8.023000000000014</v>
      </c>
      <c r="E15" s="94">
        <f t="shared" si="6"/>
        <v>2.3840000000000003</v>
      </c>
      <c r="F15" s="169">
        <f t="shared" si="6"/>
        <v>-9.303000000000011</v>
      </c>
      <c r="G15" s="169">
        <f t="shared" si="6"/>
        <v>-5.7290000000000045</v>
      </c>
      <c r="H15" s="169">
        <f t="shared" si="6"/>
        <v>-7.110999999999986</v>
      </c>
      <c r="I15" s="169">
        <f t="shared" si="6"/>
        <v>-7.115000000000013</v>
      </c>
      <c r="J15" s="169">
        <f t="shared" si="6"/>
        <v>-5.772999999999987</v>
      </c>
      <c r="K15" s="98">
        <f t="shared" si="6"/>
        <v>-3.662095633588064</v>
      </c>
      <c r="L15" s="98">
        <f t="shared" si="6"/>
        <v>-1.6166698007738622</v>
      </c>
      <c r="M15" s="98">
        <f t="shared" si="6"/>
        <v>0.26644800870703866</v>
      </c>
      <c r="N15" s="98">
        <f t="shared" si="6"/>
        <v>1.3129308341519774</v>
      </c>
      <c r="O15" s="98">
        <f t="shared" si="6"/>
        <v>2.542470464887582</v>
      </c>
      <c r="P15" s="98">
        <f t="shared" si="6"/>
        <v>3.8973205978841508</v>
      </c>
      <c r="Q15" s="98">
        <f t="shared" si="6"/>
        <v>5.42946203471039</v>
      </c>
      <c r="R15" s="98">
        <f t="shared" si="6"/>
        <v>7.447736716791116</v>
      </c>
      <c r="S15" s="98">
        <f t="shared" si="6"/>
        <v>9.393335829175625</v>
      </c>
      <c r="T15" s="98">
        <f t="shared" si="6"/>
        <v>11.568377912886575</v>
      </c>
    </row>
    <row r="16" spans="1:20" ht="12.75">
      <c r="A16" s="46" t="s">
        <v>176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12.75">
      <c r="A17" s="323" t="s">
        <v>779</v>
      </c>
      <c r="B17" s="94"/>
      <c r="C17"/>
      <c r="D17" s="94">
        <f aca="true" t="shared" si="7" ref="D17:T17">D$52</f>
        <v>53.477</v>
      </c>
      <c r="E17" s="94">
        <f t="shared" si="7"/>
        <v>56.747</v>
      </c>
      <c r="F17" s="169">
        <f t="shared" si="7"/>
        <v>54.053</v>
      </c>
      <c r="G17" s="169">
        <f t="shared" si="7"/>
        <v>51.58</v>
      </c>
      <c r="H17" s="169">
        <f t="shared" si="7"/>
        <v>51.844</v>
      </c>
      <c r="I17" s="169">
        <f t="shared" si="7"/>
        <v>54.591</v>
      </c>
      <c r="J17" s="169">
        <f t="shared" si="7"/>
        <v>58.406</v>
      </c>
      <c r="K17" s="98">
        <f t="shared" si="7"/>
        <v>62.75757971343191</v>
      </c>
      <c r="L17" s="98">
        <f t="shared" si="7"/>
        <v>67.23844500807965</v>
      </c>
      <c r="M17" s="98">
        <f t="shared" si="7"/>
        <v>71.58408929303401</v>
      </c>
      <c r="N17" s="98">
        <f t="shared" si="7"/>
        <v>75.12541270961013</v>
      </c>
      <c r="O17" s="98">
        <f t="shared" si="7"/>
        <v>78.71684880670834</v>
      </c>
      <c r="P17" s="98">
        <f t="shared" si="7"/>
        <v>82.46485759979434</v>
      </c>
      <c r="Q17" s="98">
        <f t="shared" si="7"/>
        <v>86.3792389844726</v>
      </c>
      <c r="R17" s="98">
        <f t="shared" si="7"/>
        <v>90.4504797143231</v>
      </c>
      <c r="S17" s="98">
        <f t="shared" si="7"/>
        <v>94.73402481724786</v>
      </c>
      <c r="T17" s="98">
        <f t="shared" si="7"/>
        <v>99.21117324778817</v>
      </c>
    </row>
    <row r="18" spans="1:20" ht="12.75">
      <c r="A18" s="323" t="s">
        <v>377</v>
      </c>
      <c r="B18" s="94"/>
      <c r="C18"/>
      <c r="D18" s="94">
        <f aca="true" t="shared" si="8" ref="D18:T18">SUM(D$17,D$57,D$64)</f>
        <v>58.211</v>
      </c>
      <c r="E18" s="94">
        <f t="shared" si="8"/>
        <v>61.819</v>
      </c>
      <c r="F18" s="169">
        <f t="shared" si="8"/>
        <v>58.873999999999995</v>
      </c>
      <c r="G18" s="169">
        <f t="shared" si="8"/>
        <v>56.771</v>
      </c>
      <c r="H18" s="169">
        <f t="shared" si="8"/>
        <v>57.518</v>
      </c>
      <c r="I18" s="169">
        <f t="shared" si="8"/>
        <v>60.538000000000004</v>
      </c>
      <c r="J18" s="169">
        <f t="shared" si="8"/>
        <v>65.04599999999999</v>
      </c>
      <c r="K18" s="98">
        <f t="shared" si="8"/>
        <v>69.4054295693473</v>
      </c>
      <c r="L18" s="98">
        <f t="shared" si="8"/>
        <v>74.01982858491448</v>
      </c>
      <c r="M18" s="98">
        <f t="shared" si="8"/>
        <v>78.50232512745801</v>
      </c>
      <c r="N18" s="98">
        <f t="shared" si="8"/>
        <v>82.18556297897598</v>
      </c>
      <c r="O18" s="98">
        <f t="shared" si="8"/>
        <v>85.9240867090753</v>
      </c>
      <c r="P18" s="98">
        <f t="shared" si="8"/>
        <v>89.7229744975991</v>
      </c>
      <c r="Q18" s="98">
        <f t="shared" si="8"/>
        <v>93.69242538324099</v>
      </c>
      <c r="R18" s="98">
        <f t="shared" si="8"/>
        <v>97.85424912726651</v>
      </c>
      <c r="S18" s="98">
        <f t="shared" si="8"/>
        <v>102.26946313215988</v>
      </c>
      <c r="T18" s="98">
        <f t="shared" si="8"/>
        <v>106.88653761168575</v>
      </c>
    </row>
    <row r="19" spans="1:20" ht="12.75">
      <c r="A19" s="323" t="s">
        <v>378</v>
      </c>
      <c r="B19" s="94"/>
      <c r="C19"/>
      <c r="D19" s="94">
        <f aca="true" t="shared" si="9" ref="D19:T19">SUM(D$20,D$106)</f>
        <v>54.00300000000001</v>
      </c>
      <c r="E19" s="94">
        <f t="shared" si="9"/>
        <v>56.99700000000001</v>
      </c>
      <c r="F19" s="169">
        <f t="shared" si="9"/>
        <v>62.363</v>
      </c>
      <c r="G19" s="169">
        <f t="shared" si="9"/>
        <v>65.282</v>
      </c>
      <c r="H19" s="169">
        <f t="shared" si="9"/>
        <v>67.44600000000001</v>
      </c>
      <c r="I19" s="169">
        <f t="shared" si="9"/>
        <v>70.361</v>
      </c>
      <c r="J19" s="169">
        <f t="shared" si="9"/>
        <v>73.44</v>
      </c>
      <c r="K19" s="98">
        <f t="shared" si="9"/>
        <v>75.98413212576637</v>
      </c>
      <c r="L19" s="98">
        <f t="shared" si="9"/>
        <v>78.86451369218574</v>
      </c>
      <c r="M19" s="98">
        <f t="shared" si="9"/>
        <v>81.76541178308167</v>
      </c>
      <c r="N19" s="98">
        <f t="shared" si="9"/>
        <v>84.61849721891531</v>
      </c>
      <c r="O19" s="98">
        <f t="shared" si="9"/>
        <v>87.36384985623164</v>
      </c>
      <c r="P19" s="98">
        <f t="shared" si="9"/>
        <v>90.04970485162688</v>
      </c>
      <c r="Q19" s="98">
        <f t="shared" si="9"/>
        <v>92.73013242455045</v>
      </c>
      <c r="R19" s="98">
        <f t="shared" si="9"/>
        <v>95.21524531995261</v>
      </c>
      <c r="S19" s="98">
        <f t="shared" si="9"/>
        <v>98.14576343555626</v>
      </c>
      <c r="T19" s="98">
        <f t="shared" si="9"/>
        <v>101.04350365158496</v>
      </c>
    </row>
    <row r="20" spans="1:20" ht="12.75">
      <c r="A20" s="323" t="s">
        <v>383</v>
      </c>
      <c r="B20" s="94"/>
      <c r="C20"/>
      <c r="D20" s="94">
        <f>SUM($D$109:D$109,D$73,D$84,D$90,D$102)</f>
        <v>51.67400000000001</v>
      </c>
      <c r="E20" s="94">
        <f>SUM($D$109:E$109,E$73,E$84,E$90,E$102)</f>
        <v>54.537000000000006</v>
      </c>
      <c r="F20" s="169">
        <f>SUM($D$109:F$109,F$73,F$84,F$90,F$102)</f>
        <v>59.856</v>
      </c>
      <c r="G20" s="169">
        <f>SUM($D$109:G$109,G$73,G$84,G$90,G$102)</f>
        <v>62.812</v>
      </c>
      <c r="H20" s="169">
        <f>SUM($D$109:H$109,H$73,H$84,H$90,H$102)</f>
        <v>64.44800000000001</v>
      </c>
      <c r="I20" s="169">
        <f>SUM($D$109:I$109,I$73,I$84,I$90,I$102)</f>
        <v>66.786</v>
      </c>
      <c r="J20" s="169">
        <f>SUM($D$109:J$109,J$73,J$84,J$90,J$102)</f>
        <v>69.11</v>
      </c>
      <c r="K20" s="98">
        <f>SUM($D$109:K$109,K$73,K$84,K$90,K$102)</f>
        <v>70.74381132576636</v>
      </c>
      <c r="L20" s="98">
        <f>SUM($D$109:L$109,L$73,L$84,L$90,L$102)</f>
        <v>72.96696268419237</v>
      </c>
      <c r="M20" s="98">
        <f>SUM($D$109:M$109,M$73,M$84,M$90,M$102)</f>
        <v>75.29061123249159</v>
      </c>
      <c r="N20" s="98">
        <f>SUM($D$109:N$109,N$73,N$84,N$90,N$102)</f>
        <v>77.66836258568082</v>
      </c>
      <c r="O20" s="98">
        <f>SUM($D$109:O$109,O$73,O$84,O$90,O$102)</f>
        <v>80.11851741938554</v>
      </c>
      <c r="P20" s="98">
        <f>SUM($D$109:P$109,P$73,P$84,P$90,P$102)</f>
        <v>82.56823428388385</v>
      </c>
      <c r="Q20" s="98">
        <f>SUM($D$109:Q$109,Q$73,Q$84,Q$90,Q$102)</f>
        <v>85.07725000983093</v>
      </c>
      <c r="R20" s="98">
        <f>SUM($D$109:R$109,R$73,R$84,R$90,R$102)</f>
        <v>87.46607720922147</v>
      </c>
      <c r="S20" s="98">
        <f>SUM($D$109:S$109,S$73,S$84,S$90,S$102)</f>
        <v>90.25314846724127</v>
      </c>
      <c r="T20" s="98">
        <f>SUM($D$109:T$109,T$73,T$84,T$90,T$102)</f>
        <v>93.10175106980901</v>
      </c>
    </row>
    <row r="21" spans="1:20" ht="12.75">
      <c r="A21" s="323" t="s">
        <v>653</v>
      </c>
      <c r="B21" s="335"/>
      <c r="C21"/>
      <c r="D21" s="94">
        <f>SUM(Data!C$101:C$103)</f>
        <v>2.303</v>
      </c>
      <c r="E21" s="94">
        <f>SUM(Data!D$101:D$103)</f>
        <v>-0.931</v>
      </c>
      <c r="F21" s="169">
        <f>SUM(Data!E$101:E$103)+IF($L$1="Yes",F$283,0)</f>
        <v>-3.2550000000000003</v>
      </c>
      <c r="G21" s="169">
        <f>SUM(Data!F$101:F$103)+IF($L$1="Yes",G$283,0)</f>
        <v>1.392</v>
      </c>
      <c r="H21" s="169">
        <f>SUM(Data!G$101:G$103)+IF($L$1="Yes",H$283,0)</f>
        <v>1.526</v>
      </c>
      <c r="I21" s="169">
        <f>SUM(Data!H$101:H$103)+IF($L$1="Yes",I$283,0)</f>
        <v>1.618</v>
      </c>
      <c r="J21" s="169">
        <f>SUM(Data!I$101:I$103)+IF($L$1="Yes",J$283,0)</f>
        <v>1.708</v>
      </c>
      <c r="K21" s="98">
        <f aca="true" t="shared" si="10" ref="K21:T21">SUM(J$21,K$132-J$132)</f>
        <v>1.486068130851064</v>
      </c>
      <c r="L21" s="98">
        <f t="shared" si="10"/>
        <v>1.5727836697732127</v>
      </c>
      <c r="M21" s="98">
        <f t="shared" si="10"/>
        <v>1.6651998882241037</v>
      </c>
      <c r="N21" s="98">
        <f t="shared" si="10"/>
        <v>1.7636915488759561</v>
      </c>
      <c r="O21" s="98">
        <f t="shared" si="10"/>
        <v>1.8686580512990616</v>
      </c>
      <c r="P21" s="98">
        <f t="shared" si="10"/>
        <v>1.9805250515914619</v>
      </c>
      <c r="Q21" s="98">
        <f t="shared" si="10"/>
        <v>2.0997461884830844</v>
      </c>
      <c r="R21" s="98">
        <f t="shared" si="10"/>
        <v>2.3205271901223608</v>
      </c>
      <c r="S21" s="98">
        <f t="shared" si="10"/>
        <v>2.6552893685703767</v>
      </c>
      <c r="T21" s="98">
        <f t="shared" si="10"/>
        <v>3.0035036878911137</v>
      </c>
    </row>
    <row r="22" spans="1:20" ht="12.75">
      <c r="A22" s="323" t="s">
        <v>138</v>
      </c>
      <c r="B22" s="94"/>
      <c r="C22"/>
      <c r="D22" s="94">
        <f>SUM(D$18,D$21)-D$19</f>
        <v>6.510999999999989</v>
      </c>
      <c r="E22" s="94">
        <f aca="true" t="shared" si="11" ref="E22:T22">SUM(E$18,E$21)-E$19</f>
        <v>3.8909999999999982</v>
      </c>
      <c r="F22" s="169">
        <f t="shared" si="11"/>
        <v>-6.744000000000007</v>
      </c>
      <c r="G22" s="169">
        <f t="shared" si="11"/>
        <v>-7.118999999999993</v>
      </c>
      <c r="H22" s="169">
        <f t="shared" si="11"/>
        <v>-8.402000000000008</v>
      </c>
      <c r="I22" s="169">
        <f t="shared" si="11"/>
        <v>-8.204999999999998</v>
      </c>
      <c r="J22" s="169">
        <f t="shared" si="11"/>
        <v>-6.686000000000007</v>
      </c>
      <c r="K22" s="98">
        <f t="shared" si="11"/>
        <v>-5.092634425567994</v>
      </c>
      <c r="L22" s="98">
        <f t="shared" si="11"/>
        <v>-3.2719014374980446</v>
      </c>
      <c r="M22" s="98">
        <f t="shared" si="11"/>
        <v>-1.597886767399558</v>
      </c>
      <c r="N22" s="98">
        <f t="shared" si="11"/>
        <v>-0.6692426910633742</v>
      </c>
      <c r="O22" s="98">
        <f t="shared" si="11"/>
        <v>0.428894904142723</v>
      </c>
      <c r="P22" s="98">
        <f t="shared" si="11"/>
        <v>1.6537946975636686</v>
      </c>
      <c r="Q22" s="98">
        <f t="shared" si="11"/>
        <v>3.0620391471736212</v>
      </c>
      <c r="R22" s="98">
        <f t="shared" si="11"/>
        <v>4.959530997436261</v>
      </c>
      <c r="S22" s="98">
        <f t="shared" si="11"/>
        <v>6.778989065174002</v>
      </c>
      <c r="T22" s="98">
        <f t="shared" si="11"/>
        <v>8.846537647991909</v>
      </c>
    </row>
    <row r="23" spans="1:20" ht="15.75" customHeight="1">
      <c r="A23" s="218" t="s">
        <v>451</v>
      </c>
      <c r="C23"/>
      <c r="D23"/>
      <c r="E23"/>
      <c r="F23"/>
      <c r="G23"/>
      <c r="H23"/>
      <c r="I23"/>
      <c r="J23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ht="12.75">
      <c r="A24" s="46" t="s">
        <v>175</v>
      </c>
      <c r="B24" s="95"/>
      <c r="C2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1:20" ht="12.75">
      <c r="A25" s="323" t="s">
        <v>788</v>
      </c>
      <c r="B25" s="95"/>
      <c r="C25"/>
      <c r="D25" s="94">
        <f>SUM(D$114,D$116,D$126,D$145,D$161,$D$163:D$163,D$171)</f>
        <v>180.349</v>
      </c>
      <c r="E25" s="94">
        <f>SUM(E$114,E$116,E$126,E$145,E$161,$D$163:E$163,E$171)</f>
        <v>200.835</v>
      </c>
      <c r="F25" s="169">
        <f>SUM(F$114,F$116,F$126,F$145,F$161,$D$163:F$163,F$171)</f>
        <v>219.12400000000002</v>
      </c>
      <c r="G25" s="169">
        <f>SUM(G$114,G$116,G$126,G$145,G$161,$D$163:G$163,G$171)</f>
        <v>222.23200000000003</v>
      </c>
      <c r="H25" s="169">
        <f>SUM(H$114,H$116,H$126,H$145,H$161,$D$163:H$163,H$171)</f>
        <v>228.98899999999998</v>
      </c>
      <c r="I25" s="169">
        <f>SUM(I$114,I$116,I$126,I$145,I$161,$D$163:I$163,I$171)</f>
        <v>232.62699999999998</v>
      </c>
      <c r="J25" s="169">
        <f>SUM(J$114,J$116,J$126,J$145,J$161,$D$163:J$163,J$171)</f>
        <v>238.16799999999995</v>
      </c>
      <c r="K25" s="98">
        <f>SUM(K$114,K$116,K$126,K$145,K$161,$D$163:K$163,K$171)</f>
        <v>246.70447646128832</v>
      </c>
      <c r="L25" s="98">
        <f>SUM(L$114,L$116,L$126,L$145,L$161,$D$163:L$163,L$171)</f>
        <v>255.98078756866846</v>
      </c>
      <c r="M25" s="98">
        <f>SUM(M$114,M$116,M$126,M$145,M$161,$D$163:M$163,M$171)</f>
        <v>265.69632540489147</v>
      </c>
      <c r="N25" s="98">
        <f>SUM(N$114,N$116,N$126,N$145,N$161,$D$163:N$163,N$171)</f>
        <v>274.5127735296317</v>
      </c>
      <c r="O25" s="98">
        <f>SUM(O$114,O$116,O$126,O$145,O$161,$D$163:O$163,O$171)</f>
        <v>283.67770332424925</v>
      </c>
      <c r="P25" s="98">
        <f>SUM(P$114,P$116,P$126,P$145,P$161,$D$163:P$163,P$171)</f>
        <v>293.3009715051138</v>
      </c>
      <c r="Q25" s="98">
        <f>SUM(Q$114,Q$116,Q$126,Q$145,Q$161,$D$163:Q$163,Q$171)</f>
        <v>303.405784627084</v>
      </c>
      <c r="R25" s="98">
        <f>SUM(R$114,R$116,R$126,R$145,R$161,$D$163:R$163,R$171)</f>
        <v>316.34976962998707</v>
      </c>
      <c r="S25" s="98">
        <f>SUM(S$114,S$116,S$126,S$145,S$161,$D$163:S$163,S$171)</f>
        <v>329.9314300541742</v>
      </c>
      <c r="T25" s="98">
        <f>SUM(T$114,T$116,T$126,T$145,T$161,$D$163:T$163,T$171)</f>
        <v>344.1407620547416</v>
      </c>
    </row>
    <row r="26" spans="1:20" ht="12.75">
      <c r="A26" s="323" t="s">
        <v>790</v>
      </c>
      <c r="B26" s="95"/>
      <c r="C26"/>
      <c r="D26" s="94">
        <f aca="true" t="shared" si="12" ref="D26:T26">SUM(D$192,D$191)</f>
        <v>41.897999999999996</v>
      </c>
      <c r="E26" s="94">
        <f t="shared" si="12"/>
        <v>46.11</v>
      </c>
      <c r="F26" s="169">
        <f t="shared" si="12"/>
        <v>69.156</v>
      </c>
      <c r="G26" s="169">
        <f t="shared" si="12"/>
        <v>76.423</v>
      </c>
      <c r="H26" s="169">
        <f t="shared" si="12"/>
        <v>88.65599999999999</v>
      </c>
      <c r="I26" s="169">
        <f t="shared" si="12"/>
        <v>97.42</v>
      </c>
      <c r="J26" s="169">
        <f t="shared" si="12"/>
        <v>106.621</v>
      </c>
      <c r="K26" s="98">
        <f t="shared" si="12"/>
        <v>116.85568447267775</v>
      </c>
      <c r="L26" s="98">
        <f t="shared" si="12"/>
        <v>125.64367710327117</v>
      </c>
      <c r="M26" s="98">
        <f t="shared" si="12"/>
        <v>132.99218892099515</v>
      </c>
      <c r="N26" s="98">
        <f t="shared" si="12"/>
        <v>138.68906932467885</v>
      </c>
      <c r="O26" s="98">
        <f t="shared" si="12"/>
        <v>143.48588673089608</v>
      </c>
      <c r="P26" s="98">
        <f t="shared" si="12"/>
        <v>147.3342653387748</v>
      </c>
      <c r="Q26" s="98">
        <f t="shared" si="12"/>
        <v>150.0774694587537</v>
      </c>
      <c r="R26" s="98">
        <f t="shared" si="12"/>
        <v>153.58539621752635</v>
      </c>
      <c r="S26" s="98">
        <f t="shared" si="12"/>
        <v>155.70875268379172</v>
      </c>
      <c r="T26" s="98">
        <f t="shared" si="12"/>
        <v>156.20784361702215</v>
      </c>
    </row>
    <row r="27" spans="1:20" ht="12.75">
      <c r="A27" s="323" t="s">
        <v>781</v>
      </c>
      <c r="B27" s="95"/>
      <c r="C27"/>
      <c r="D27" s="94">
        <f aca="true" t="shared" si="13" ref="D27:T27">D$188</f>
        <v>41.624</v>
      </c>
      <c r="E27" s="94">
        <f t="shared" si="13"/>
        <v>49.211</v>
      </c>
      <c r="F27" s="169">
        <f t="shared" si="13"/>
        <v>54.27</v>
      </c>
      <c r="G27" s="169">
        <f t="shared" si="13"/>
        <v>55.86</v>
      </c>
      <c r="H27" s="169">
        <f t="shared" si="13"/>
        <v>57.521</v>
      </c>
      <c r="I27" s="169">
        <f t="shared" si="13"/>
        <v>59.513000000000005</v>
      </c>
      <c r="J27" s="169">
        <f t="shared" si="13"/>
        <v>61.654999999999994</v>
      </c>
      <c r="K27" s="98">
        <f t="shared" si="13"/>
        <v>63.61888762219865</v>
      </c>
      <c r="L27" s="98">
        <f t="shared" si="13"/>
        <v>65.7238758997592</v>
      </c>
      <c r="M27" s="98">
        <f t="shared" si="13"/>
        <v>67.82445390955118</v>
      </c>
      <c r="N27" s="98">
        <f t="shared" si="13"/>
        <v>69.63109079645582</v>
      </c>
      <c r="O27" s="98">
        <f t="shared" si="13"/>
        <v>71.45673271996861</v>
      </c>
      <c r="P27" s="98">
        <f t="shared" si="13"/>
        <v>73.33430169507035</v>
      </c>
      <c r="Q27" s="98">
        <f t="shared" si="13"/>
        <v>75.26644866235124</v>
      </c>
      <c r="R27" s="98">
        <f t="shared" si="13"/>
        <v>77.25477018969052</v>
      </c>
      <c r="S27" s="98">
        <f t="shared" si="13"/>
        <v>79.3197383184367</v>
      </c>
      <c r="T27" s="98">
        <f t="shared" si="13"/>
        <v>81.4616014728871</v>
      </c>
    </row>
    <row r="28" spans="1:20" ht="12.75">
      <c r="A28" s="323" t="s">
        <v>356</v>
      </c>
      <c r="B28" s="95"/>
      <c r="C28"/>
      <c r="D28" s="94">
        <f aca="true" t="shared" si="14" ref="D28:T28">D$25-SUM(D$26,D$27)</f>
        <v>96.827</v>
      </c>
      <c r="E28" s="94">
        <f t="shared" si="14"/>
        <v>105.51400000000001</v>
      </c>
      <c r="F28" s="169">
        <f t="shared" si="14"/>
        <v>95.69800000000001</v>
      </c>
      <c r="G28" s="169">
        <f t="shared" si="14"/>
        <v>89.94900000000001</v>
      </c>
      <c r="H28" s="169">
        <f t="shared" si="14"/>
        <v>82.81199999999998</v>
      </c>
      <c r="I28" s="169">
        <f t="shared" si="14"/>
        <v>75.69399999999999</v>
      </c>
      <c r="J28" s="169">
        <f t="shared" si="14"/>
        <v>69.89199999999997</v>
      </c>
      <c r="K28" s="98">
        <f t="shared" si="14"/>
        <v>66.22990436641192</v>
      </c>
      <c r="L28" s="98">
        <f t="shared" si="14"/>
        <v>64.6132345656381</v>
      </c>
      <c r="M28" s="98">
        <f t="shared" si="14"/>
        <v>64.87968257434514</v>
      </c>
      <c r="N28" s="98">
        <f t="shared" si="14"/>
        <v>66.19261340849704</v>
      </c>
      <c r="O28" s="98">
        <f t="shared" si="14"/>
        <v>68.73508387338455</v>
      </c>
      <c r="P28" s="98">
        <f t="shared" si="14"/>
        <v>72.63240447126867</v>
      </c>
      <c r="Q28" s="98">
        <f t="shared" si="14"/>
        <v>78.06186650597908</v>
      </c>
      <c r="R28" s="98">
        <f t="shared" si="14"/>
        <v>85.50960322277018</v>
      </c>
      <c r="S28" s="98">
        <f t="shared" si="14"/>
        <v>94.9029390519458</v>
      </c>
      <c r="T28" s="98">
        <f t="shared" si="14"/>
        <v>106.47131696483234</v>
      </c>
    </row>
    <row r="29" spans="1:20" ht="12.75">
      <c r="A29" s="46" t="s">
        <v>177</v>
      </c>
      <c r="B29" s="95"/>
      <c r="C29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</row>
    <row r="30" spans="1:20" ht="12.75">
      <c r="A30" s="323" t="s">
        <v>788</v>
      </c>
      <c r="B30" s="95"/>
      <c r="C30"/>
      <c r="D30" s="94">
        <f>SUM(D$113,D$115,D$123,D$144,D$159,$D$163:D$163,D$170)</f>
        <v>105.213</v>
      </c>
      <c r="E30" s="94">
        <f>SUM(E$113,E$115,E$123,E$144,E$159,$D$163:E$163,E$170)</f>
        <v>116.18199999999999</v>
      </c>
      <c r="F30" s="169">
        <f>SUM(F$113,F$115,F$123,F$144,F$159,$D$163:F$163,F$170)</f>
        <v>131.812</v>
      </c>
      <c r="G30" s="169">
        <f>SUM(G$113,G$115,G$123,G$144,G$159,$D$163:G$163,G$170)</f>
        <v>131.66199999999998</v>
      </c>
      <c r="H30" s="169">
        <f>SUM(H$113,H$115,H$123,H$144,H$159,$D$163:H$163,H$170)</f>
        <v>134.696</v>
      </c>
      <c r="I30" s="169">
        <f>SUM(I$113,I$115,I$123,I$144,I$159,$D$163:I$163,I$170)</f>
        <v>135.06900000000002</v>
      </c>
      <c r="J30" s="169">
        <f>SUM(J$113,J$115,J$123,J$144,J$159,$D$163:J$163,J$170)</f>
        <v>136.449</v>
      </c>
      <c r="K30" s="98">
        <f>SUM(K$113,K$115,K$123,K$144,K$159,$D$163:K$163,K$170)</f>
        <v>141.16892499383073</v>
      </c>
      <c r="L30" s="98">
        <f>SUM(L$113,L$115,L$123,L$144,L$159,$D$163:L$163,L$170)</f>
        <v>146.03134500955338</v>
      </c>
      <c r="M30" s="98">
        <f>SUM(M$113,M$115,M$123,M$144,M$159,$D$163:M$163,M$170)</f>
        <v>150.97314173379291</v>
      </c>
      <c r="N30" s="98">
        <f>SUM(N$113,N$115,N$123,N$144,N$159,$D$163:N$163,N$170)</f>
        <v>155.31252697521285</v>
      </c>
      <c r="O30" s="98">
        <f>SUM(O$113,O$115,O$123,O$144,O$159,$D$163:O$163,O$170)</f>
        <v>159.77485118698087</v>
      </c>
      <c r="P30" s="98">
        <f>SUM(P$113,P$115,P$123,P$144,P$159,$D$163:P$163,P$170)</f>
        <v>164.37386259869393</v>
      </c>
      <c r="Q30" s="98">
        <f>SUM(Q$113,Q$115,Q$123,Q$144,Q$159,$D$163:Q$163,Q$170)</f>
        <v>169.11860701232342</v>
      </c>
      <c r="R30" s="98">
        <f>SUM(R$113,R$115,R$123,R$144,R$159,$D$163:R$163,R$170)</f>
        <v>176.54383826529167</v>
      </c>
      <c r="S30" s="98">
        <f>SUM(S$113,S$115,S$123,S$144,S$159,$D$163:S$163,S$170)</f>
        <v>184.20869675403816</v>
      </c>
      <c r="T30" s="98">
        <f>SUM(T$113,T$115,T$123,T$144,T$159,$D$163:T$163,T$170)</f>
        <v>192.11990365364562</v>
      </c>
    </row>
    <row r="31" spans="1:20" ht="12.75">
      <c r="A31" s="323" t="s">
        <v>782</v>
      </c>
      <c r="B31" s="138"/>
      <c r="C31"/>
      <c r="D31" s="94">
        <f aca="true" t="shared" si="15" ref="D31:T31">D$194</f>
        <v>35.892</v>
      </c>
      <c r="E31" s="94">
        <f t="shared" si="15"/>
        <v>37.336</v>
      </c>
      <c r="F31" s="169">
        <f t="shared" si="15"/>
        <v>57.329</v>
      </c>
      <c r="G31" s="169">
        <f t="shared" si="15"/>
        <v>64.116</v>
      </c>
      <c r="H31" s="169">
        <f t="shared" si="15"/>
        <v>75.57</v>
      </c>
      <c r="I31" s="169">
        <f t="shared" si="15"/>
        <v>83.801</v>
      </c>
      <c r="J31" s="169">
        <f t="shared" si="15"/>
        <v>91.614</v>
      </c>
      <c r="K31" s="98">
        <f t="shared" si="15"/>
        <v>101.33249154627794</v>
      </c>
      <c r="L31" s="98">
        <f t="shared" si="15"/>
        <v>109.37163092212982</v>
      </c>
      <c r="M31" s="98">
        <f t="shared" si="15"/>
        <v>115.83557722057469</v>
      </c>
      <c r="N31" s="98">
        <f t="shared" si="15"/>
        <v>120.75554061410172</v>
      </c>
      <c r="O31" s="98">
        <f t="shared" si="15"/>
        <v>124.69117612905059</v>
      </c>
      <c r="P31" s="98">
        <f t="shared" si="15"/>
        <v>127.5480402453252</v>
      </c>
      <c r="Q31" s="98">
        <f t="shared" si="15"/>
        <v>129.1528018455192</v>
      </c>
      <c r="R31" s="98">
        <f t="shared" si="15"/>
        <v>131.54358280524986</v>
      </c>
      <c r="S31" s="98">
        <f t="shared" si="15"/>
        <v>132.36254302959907</v>
      </c>
      <c r="T31" s="98">
        <f t="shared" si="15"/>
        <v>131.35759952427327</v>
      </c>
    </row>
    <row r="32" spans="1:20" ht="12.75">
      <c r="A32" s="323" t="s">
        <v>783</v>
      </c>
      <c r="B32" s="138"/>
      <c r="C32"/>
      <c r="D32" s="94">
        <f aca="true" t="shared" si="16" ref="D32:T32">D$185</f>
        <v>18.530999999999995</v>
      </c>
      <c r="E32" s="94">
        <f t="shared" si="16"/>
        <v>21.863000000000003</v>
      </c>
      <c r="F32" s="169">
        <f t="shared" si="16"/>
        <v>23.878</v>
      </c>
      <c r="G32" s="169">
        <f t="shared" si="16"/>
        <v>24.06</v>
      </c>
      <c r="H32" s="169">
        <f t="shared" si="16"/>
        <v>24.042</v>
      </c>
      <c r="I32" s="169">
        <f t="shared" si="16"/>
        <v>24.388999999999992</v>
      </c>
      <c r="J32" s="169">
        <f t="shared" si="16"/>
        <v>24.641999999999996</v>
      </c>
      <c r="K32" s="98">
        <f t="shared" si="16"/>
        <v>24.73606787312077</v>
      </c>
      <c r="L32" s="98">
        <f t="shared" si="16"/>
        <v>24.83124995048957</v>
      </c>
      <c r="M32" s="98">
        <f t="shared" si="16"/>
        <v>24.906987143683807</v>
      </c>
      <c r="N32" s="98">
        <f t="shared" si="16"/>
        <v>24.995651682640087</v>
      </c>
      <c r="O32" s="98">
        <f t="shared" si="16"/>
        <v>25.09344547531652</v>
      </c>
      <c r="P32" s="98">
        <f t="shared" si="16"/>
        <v>25.18179807319133</v>
      </c>
      <c r="Q32" s="98">
        <f t="shared" si="16"/>
        <v>25.2597417394532</v>
      </c>
      <c r="R32" s="98">
        <f t="shared" si="16"/>
        <v>25.334661035254527</v>
      </c>
      <c r="S32" s="98">
        <f t="shared" si="16"/>
        <v>25.401570234477802</v>
      </c>
      <c r="T32" s="98">
        <f t="shared" si="16"/>
        <v>25.471182991419155</v>
      </c>
    </row>
    <row r="33" spans="1:20" ht="12.75">
      <c r="A33" s="323" t="s">
        <v>356</v>
      </c>
      <c r="B33" s="138"/>
      <c r="C33"/>
      <c r="D33" s="94">
        <f>D$30-SUM(D$31,D$32)</f>
        <v>50.78999999999999</v>
      </c>
      <c r="E33" s="94">
        <f aca="true" t="shared" si="17" ref="E33:T33">E$30-SUM(E$31,E$32)</f>
        <v>56.98299999999999</v>
      </c>
      <c r="F33" s="169">
        <f t="shared" si="17"/>
        <v>50.60500000000002</v>
      </c>
      <c r="G33" s="169">
        <f t="shared" si="17"/>
        <v>43.485999999999976</v>
      </c>
      <c r="H33" s="169">
        <f t="shared" si="17"/>
        <v>35.084</v>
      </c>
      <c r="I33" s="169">
        <f t="shared" si="17"/>
        <v>26.87900000000002</v>
      </c>
      <c r="J33" s="169">
        <f t="shared" si="17"/>
        <v>20.193000000000012</v>
      </c>
      <c r="K33" s="98">
        <f t="shared" si="17"/>
        <v>15.100365574432018</v>
      </c>
      <c r="L33" s="98">
        <f t="shared" si="17"/>
        <v>11.828464136933974</v>
      </c>
      <c r="M33" s="98">
        <f t="shared" si="17"/>
        <v>10.230577369534416</v>
      </c>
      <c r="N33" s="98">
        <f t="shared" si="17"/>
        <v>9.561334678471042</v>
      </c>
      <c r="O33" s="98">
        <f t="shared" si="17"/>
        <v>9.99022958261375</v>
      </c>
      <c r="P33" s="98">
        <f t="shared" si="17"/>
        <v>11.644024280177405</v>
      </c>
      <c r="Q33" s="98">
        <f t="shared" si="17"/>
        <v>14.706063427351012</v>
      </c>
      <c r="R33" s="98">
        <f t="shared" si="17"/>
        <v>19.665594424787287</v>
      </c>
      <c r="S33" s="98">
        <f t="shared" si="17"/>
        <v>26.444583489961303</v>
      </c>
      <c r="T33" s="98">
        <f t="shared" si="17"/>
        <v>35.29112113795321</v>
      </c>
    </row>
    <row r="34" spans="1:20" ht="12.75">
      <c r="A34" s="323" t="s">
        <v>227</v>
      </c>
      <c r="B34" s="138"/>
      <c r="C34"/>
      <c r="D34" s="94">
        <f aca="true" t="shared" si="18" ref="D34:T34">D$196</f>
        <v>36.805</v>
      </c>
      <c r="E34" s="94">
        <f t="shared" si="18"/>
        <v>37.745</v>
      </c>
      <c r="F34" s="169">
        <f t="shared" si="18"/>
        <v>56.801</v>
      </c>
      <c r="G34" s="169">
        <f t="shared" si="18"/>
        <v>63.557</v>
      </c>
      <c r="H34" s="169">
        <f t="shared" si="18"/>
        <v>75.011</v>
      </c>
      <c r="I34" s="169">
        <f t="shared" si="18"/>
        <v>83.241</v>
      </c>
      <c r="J34" s="169">
        <f t="shared" si="18"/>
        <v>91.053</v>
      </c>
      <c r="K34" s="98">
        <f t="shared" si="18"/>
        <v>100.73381515868644</v>
      </c>
      <c r="L34" s="98">
        <f t="shared" si="18"/>
        <v>108.73280130122659</v>
      </c>
      <c r="M34" s="98">
        <f t="shared" si="18"/>
        <v>115.15395469280178</v>
      </c>
      <c r="N34" s="98">
        <f t="shared" si="18"/>
        <v>120.02831197376153</v>
      </c>
      <c r="O34" s="98">
        <f t="shared" si="18"/>
        <v>123.91534323030294</v>
      </c>
      <c r="P34" s="98">
        <f t="shared" si="18"/>
        <v>126.7204078442224</v>
      </c>
      <c r="Q34" s="98">
        <f t="shared" si="18"/>
        <v>128.26996464277642</v>
      </c>
      <c r="R34" s="98">
        <f t="shared" si="18"/>
        <v>130.51540189470873</v>
      </c>
      <c r="S34" s="98">
        <f t="shared" si="18"/>
        <v>131.18296748358804</v>
      </c>
      <c r="T34" s="98">
        <f t="shared" si="18"/>
        <v>130.02046265697436</v>
      </c>
    </row>
    <row r="35" spans="1:20" ht="12.75">
      <c r="A35" s="323" t="s">
        <v>939</v>
      </c>
      <c r="B35" s="138"/>
      <c r="C35"/>
      <c r="D35" s="94">
        <f aca="true" t="shared" si="19" ref="D35:T35">D$196-D$197</f>
        <v>30.647</v>
      </c>
      <c r="E35" s="94">
        <f t="shared" si="19"/>
        <v>31.389999999999997</v>
      </c>
      <c r="F35" s="169">
        <f t="shared" si="19"/>
        <v>44.217</v>
      </c>
      <c r="G35" s="169">
        <f t="shared" si="19"/>
        <v>50.973</v>
      </c>
      <c r="H35" s="169">
        <f t="shared" si="19"/>
        <v>62.42699999999999</v>
      </c>
      <c r="I35" s="169">
        <f t="shared" si="19"/>
        <v>70.657</v>
      </c>
      <c r="J35" s="169">
        <f t="shared" si="19"/>
        <v>78.469</v>
      </c>
      <c r="K35" s="98">
        <f t="shared" si="19"/>
        <v>88.14981515868644</v>
      </c>
      <c r="L35" s="98">
        <f t="shared" si="19"/>
        <v>96.14880130122658</v>
      </c>
      <c r="M35" s="98">
        <f t="shared" si="19"/>
        <v>102.56995469280177</v>
      </c>
      <c r="N35" s="98">
        <f t="shared" si="19"/>
        <v>107.44431197376153</v>
      </c>
      <c r="O35" s="98">
        <f t="shared" si="19"/>
        <v>111.33134323030293</v>
      </c>
      <c r="P35" s="98">
        <f t="shared" si="19"/>
        <v>114.13640784422239</v>
      </c>
      <c r="Q35" s="98">
        <f t="shared" si="19"/>
        <v>115.68596464277641</v>
      </c>
      <c r="R35" s="98">
        <f t="shared" si="19"/>
        <v>117.93140189470873</v>
      </c>
      <c r="S35" s="98">
        <f t="shared" si="19"/>
        <v>118.59896748358804</v>
      </c>
      <c r="T35" s="98">
        <f t="shared" si="19"/>
        <v>117.43646265697436</v>
      </c>
    </row>
    <row r="36" spans="1:20" ht="12.75">
      <c r="A36" s="323" t="s">
        <v>357</v>
      </c>
      <c r="B36" s="138"/>
      <c r="C36"/>
      <c r="D36" s="94">
        <f>D$34-SUM(D$113,D$123)+D$172</f>
        <v>1.6199999999999974</v>
      </c>
      <c r="E36" s="94">
        <f>E$34-SUM(E$113,E$123)+E$172</f>
        <v>-2.676000000000002</v>
      </c>
      <c r="F36" s="169">
        <f>F$34-SUM(F$113,F$123)+F$172</f>
        <v>3.814</v>
      </c>
      <c r="G36" s="169">
        <f>G$34-SUM(G$113,G$123)+G$172</f>
        <v>14.061</v>
      </c>
      <c r="H36" s="169">
        <f>H$34-SUM(H$113,H$123)+H$172</f>
        <v>24.933999999999997</v>
      </c>
      <c r="I36" s="169">
        <f>I$34-SUM(I$113,I$123)+I$172</f>
        <v>35.178</v>
      </c>
      <c r="J36" s="169">
        <f>J$34-SUM(J$113,J$123)+J$172</f>
        <v>44.022</v>
      </c>
      <c r="K36" s="98">
        <f>K$34-SUM(K$113,K$123)+K$172</f>
        <v>52.02008295681354</v>
      </c>
      <c r="L36" s="98">
        <f aca="true" t="shared" si="20" ref="L36:T36">L$34-SUM(L$113,L$123)+L$172</f>
        <v>58.22336357292507</v>
      </c>
      <c r="M36" s="98">
        <f t="shared" si="20"/>
        <v>62.7593606694225</v>
      </c>
      <c r="N36" s="98">
        <f t="shared" si="20"/>
        <v>65.65380237137757</v>
      </c>
      <c r="O36" s="98">
        <f t="shared" si="20"/>
        <v>67.46051270748016</v>
      </c>
      <c r="P36" s="98">
        <f t="shared" si="20"/>
        <v>68.07884549855541</v>
      </c>
      <c r="Q36" s="98">
        <f t="shared" si="20"/>
        <v>67.32887110703382</v>
      </c>
      <c r="R36" s="98">
        <f t="shared" si="20"/>
        <v>64.63344563602801</v>
      </c>
      <c r="S36" s="98">
        <f t="shared" si="20"/>
        <v>60.169682928187584</v>
      </c>
      <c r="T36" s="98">
        <f t="shared" si="20"/>
        <v>53.68172825905348</v>
      </c>
    </row>
    <row r="37" spans="1:20" ht="12.75">
      <c r="A37" s="323" t="s">
        <v>784</v>
      </c>
      <c r="B37" s="138"/>
      <c r="C37"/>
      <c r="D37" s="94">
        <f aca="true" t="shared" si="21" ref="D37:T37">SUM(D$36,D$139)</f>
        <v>13.195999999999998</v>
      </c>
      <c r="E37" s="94">
        <f t="shared" si="21"/>
        <v>10.257999999999997</v>
      </c>
      <c r="F37" s="169">
        <f t="shared" si="21"/>
        <v>15.482</v>
      </c>
      <c r="G37" s="169">
        <f t="shared" si="21"/>
        <v>27.319</v>
      </c>
      <c r="H37" s="169">
        <f t="shared" si="21"/>
        <v>39.759</v>
      </c>
      <c r="I37" s="169">
        <f t="shared" si="21"/>
        <v>51.91</v>
      </c>
      <c r="J37" s="169">
        <f t="shared" si="21"/>
        <v>62.634</v>
      </c>
      <c r="K37" s="98">
        <f t="shared" si="21"/>
        <v>71.88205252161355</v>
      </c>
      <c r="L37" s="98">
        <f t="shared" si="21"/>
        <v>79.41747570171502</v>
      </c>
      <c r="M37" s="98">
        <f t="shared" si="21"/>
        <v>85.3731904143591</v>
      </c>
      <c r="N37" s="98">
        <f t="shared" si="21"/>
        <v>89.7806819685463</v>
      </c>
      <c r="O37" s="98">
        <f t="shared" si="21"/>
        <v>93.19991005416676</v>
      </c>
      <c r="P37" s="98">
        <f t="shared" si="21"/>
        <v>95.53676751161319</v>
      </c>
      <c r="Q37" s="98">
        <f t="shared" si="21"/>
        <v>96.61829359803002</v>
      </c>
      <c r="R37" s="98">
        <f t="shared" si="21"/>
        <v>98.74485937398101</v>
      </c>
      <c r="S37" s="98">
        <f t="shared" si="21"/>
        <v>99.30383633702368</v>
      </c>
      <c r="T37" s="98">
        <f t="shared" si="21"/>
        <v>98.04321020944046</v>
      </c>
    </row>
    <row r="38" spans="1:20" ht="13.5">
      <c r="A38" s="222" t="s">
        <v>596</v>
      </c>
      <c r="B38" s="63"/>
      <c r="C38"/>
      <c r="D38" s="94"/>
      <c r="E38" s="94"/>
      <c r="F38" s="98"/>
      <c r="G38" s="98"/>
      <c r="H38" s="98"/>
      <c r="I38" s="98"/>
      <c r="J38" s="98"/>
      <c r="T38" s="98"/>
    </row>
    <row r="39" spans="1:20" ht="12.75">
      <c r="A39" s="323" t="s">
        <v>699</v>
      </c>
      <c r="B39" s="335"/>
      <c r="C39"/>
      <c r="D39" s="242" t="str">
        <f>IF(ROUND(Data!C$16-D$15,3)=0,"OK","ERROR")</f>
        <v>OK</v>
      </c>
      <c r="E39" s="242" t="str">
        <f>IF(ROUND(Data!D$16-E$15,3)=0,"OK","ERROR")</f>
        <v>OK</v>
      </c>
      <c r="F39" s="223" t="str">
        <f>IF(ROUND(Data!E$16-F$15+IF($F$1="Yes",F$274,0)+IF($I$1="Yes",F$259,0)+IF($L$1="Yes",F$288,0),3)=0,"OK","ERROR")</f>
        <v>OK</v>
      </c>
      <c r="G39" s="223" t="str">
        <f>IF(ROUND(Data!F$16-G$15+IF($F$1="Yes",G$274,0)+IF($I$1="Yes",G$259,0)+IF($L$1="Yes",G$288,0),3)=0,"OK","ERROR")</f>
        <v>OK</v>
      </c>
      <c r="H39" s="223" t="str">
        <f>IF(ROUND(Data!G$16-H$15+IF($F$1="Yes",H$274,0)+IF($I$1="Yes",H$259,0)+IF($L$1="Yes",H$288,0),3)=0,"OK","ERROR")</f>
        <v>OK</v>
      </c>
      <c r="I39" s="223" t="str">
        <f>IF(ROUND(Data!H$16-I$15+IF($F$1="Yes",I$274,0)+IF($I$1="Yes",I$259,0)+IF($L$1="Yes",I$288,0),3)=0,"OK","ERROR")</f>
        <v>OK</v>
      </c>
      <c r="J39" s="223" t="str">
        <f>IF(ROUND(Data!I$16-J$15+IF($F$1="Yes",J$274,0)+IF($I$1="Yes",J$259,0)+IF($L$1="Yes",J$288,0),3)=0,"OK","ERROR")</f>
        <v>OK</v>
      </c>
      <c r="T39" s="98"/>
    </row>
    <row r="40" spans="1:20" ht="12.75">
      <c r="A40" s="323" t="s">
        <v>597</v>
      </c>
      <c r="B40" s="335"/>
      <c r="C40"/>
      <c r="D40" s="242" t="str">
        <f>IF(ROUND(Data!C$104-D$22,3)=0,"OK","ERROR")</f>
        <v>OK</v>
      </c>
      <c r="E40" s="242" t="str">
        <f>IF(ROUND(Data!D$104-E$22,3)=0,"OK","ERROR")</f>
        <v>OK</v>
      </c>
      <c r="F40" s="223" t="str">
        <f>IF(ROUND(Data!E$104-F$22+IF($F$1="Yes",F$274,0)+IF($I$1="Yes",F$259,0)+IF($L$1="Yes",F$288,0),3)=0,"OK","ERROR")</f>
        <v>OK</v>
      </c>
      <c r="G40" s="223" t="str">
        <f>IF(ROUND(Data!F$104-G$22+IF($F$1="Yes",G$274,0)+IF($I$1="Yes",G$259,0)+IF($L$1="Yes",G$288,0),3)=0,"OK","ERROR")</f>
        <v>OK</v>
      </c>
      <c r="H40" s="223" t="str">
        <f>IF(ROUND(Data!G$104-H$22+IF($F$1="Yes",H$274,0)+IF($I$1="Yes",H$259,0)+IF($L$1="Yes",H$288,0),3)=0,"OK","ERROR")</f>
        <v>OK</v>
      </c>
      <c r="I40" s="223" t="str">
        <f>IF(ROUND(Data!H$104-I$22+IF($F$1="Yes",I$274,0)+IF($I$1="Yes",I$259,0)+IF($L$1="Yes",I$288,0),3)=0,"OK","ERROR")</f>
        <v>OK</v>
      </c>
      <c r="J40" s="223" t="str">
        <f>IF(ROUND(Data!I$104-J$22+IF($F$1="Yes",J$274,0)+IF($I$1="Yes",J$259,0)+IF($L$1="Yes",J$288,0),3)=0,"OK","ERROR")</f>
        <v>OK</v>
      </c>
      <c r="K40" s="224"/>
      <c r="L40" s="224"/>
      <c r="M40" s="224"/>
      <c r="N40" s="224"/>
      <c r="O40" s="224"/>
      <c r="P40" s="224"/>
      <c r="Q40" s="224"/>
      <c r="R40" s="224"/>
      <c r="S40" s="224"/>
      <c r="T40" s="224"/>
    </row>
    <row r="41" spans="1:20" ht="12.75">
      <c r="A41" s="323" t="s">
        <v>598</v>
      </c>
      <c r="B41" s="335"/>
      <c r="C41"/>
      <c r="D41" s="242" t="str">
        <f>IF(ROUND(Data!C$76-D$28,3)=0,"OK","ERROR")</f>
        <v>OK</v>
      </c>
      <c r="E41" s="242" t="str">
        <f>IF(ROUND(Data!D$76-E$28,3)=0,"OK","ERROR")</f>
        <v>OK</v>
      </c>
      <c r="F41" s="223" t="str">
        <f>IF(ROUND(Data!E$76-F$28+IF($F$1="Yes",F$275,0)+IF($I$1="Yes",F$263,0)+IF($L$1="Yes",F$293,0),3)=0,"OK","ERROR")</f>
        <v>OK</v>
      </c>
      <c r="G41" s="223" t="str">
        <f>IF(ROUND(Data!F$76-G$28+IF($F$1="Yes",G$275,0)+IF($I$1="Yes",G$263,0)+IF($L$1="Yes",G$293,0),3)=0,"OK","ERROR")</f>
        <v>OK</v>
      </c>
      <c r="H41" s="223" t="str">
        <f>IF(ROUND(Data!G$76-H$28+IF($F$1="Yes",H$275,0)+IF($I$1="Yes",H$263,0)+IF($L$1="Yes",H$293,0),3)=0,"OK","ERROR")</f>
        <v>OK</v>
      </c>
      <c r="I41" s="223" t="str">
        <f>IF(ROUND(Data!H$76-I$28+IF($F$1="Yes",I$275,0)+IF($I$1="Yes",I$263,0)+IF($L$1="Yes",I$293,0),3)=0,"OK","ERROR")</f>
        <v>OK</v>
      </c>
      <c r="J41" s="223" t="str">
        <f>IF(ROUND(Data!I$76-J$28+IF($F$1="Yes",J$275,0)+IF($I$1="Yes",J$263,0)+IF($L$1="Yes",J$293,0),3)=0,"OK","ERROR")</f>
        <v>OK</v>
      </c>
      <c r="K41" s="225" t="str">
        <f>IF(ROUND(K$28-J$28-K$15,3)=0,"OK","ERROR")</f>
        <v>OK</v>
      </c>
      <c r="L41" s="225" t="str">
        <f aca="true" t="shared" si="22" ref="L41:T41">IF(ROUND(L$28-K$28-L$15,3)=0,"OK","ERROR")</f>
        <v>OK</v>
      </c>
      <c r="M41" s="225" t="str">
        <f t="shared" si="22"/>
        <v>OK</v>
      </c>
      <c r="N41" s="225" t="str">
        <f t="shared" si="22"/>
        <v>OK</v>
      </c>
      <c r="O41" s="225" t="str">
        <f t="shared" si="22"/>
        <v>OK</v>
      </c>
      <c r="P41" s="225" t="str">
        <f t="shared" si="22"/>
        <v>OK</v>
      </c>
      <c r="Q41" s="225" t="str">
        <f t="shared" si="22"/>
        <v>OK</v>
      </c>
      <c r="R41" s="225" t="str">
        <f t="shared" si="22"/>
        <v>OK</v>
      </c>
      <c r="S41" s="225" t="str">
        <f t="shared" si="22"/>
        <v>OK</v>
      </c>
      <c r="T41" s="225" t="str">
        <f t="shared" si="22"/>
        <v>OK</v>
      </c>
    </row>
    <row r="42" spans="1:20" ht="12.75">
      <c r="A42" s="323" t="s">
        <v>599</v>
      </c>
      <c r="B42" s="335"/>
      <c r="C42"/>
      <c r="D42" s="242" t="str">
        <f>IF(ROUND(Data!C$117-D$33,3)=0,"OK","ERROR")</f>
        <v>OK</v>
      </c>
      <c r="E42" s="242" t="str">
        <f>IF(ROUND(Data!D$117-E$33,3)=0,"OK","ERROR")</f>
        <v>OK</v>
      </c>
      <c r="F42" s="223" t="str">
        <f>IF(ROUND(Data!E$117-F$33+IF($F$1="Yes",F$275,0)+IF($I$1="Yes",F$263,0)+IF($L$1="Yes",F$293,0),3)=0,"OK","ERROR")</f>
        <v>OK</v>
      </c>
      <c r="G42" s="223" t="str">
        <f>IF(ROUND(Data!F$117-G$33+IF($F$1="Yes",G$275,0)+IF($I$1="Yes",G$263,0)+IF($L$1="Yes",G$293,0),3)=0,"OK","ERROR")</f>
        <v>OK</v>
      </c>
      <c r="H42" s="223" t="str">
        <f>IF(ROUND(Data!G$117-H$33+IF($F$1="Yes",H$275,0)+IF($I$1="Yes",H$263,0)+IF($L$1="Yes",H$293,0),3)=0,"OK","ERROR")</f>
        <v>OK</v>
      </c>
      <c r="I42" s="223" t="str">
        <f>IF(ROUND(Data!H$117-I$33+IF($F$1="Yes",I$275,0)+IF($I$1="Yes",I$263,0)+IF($L$1="Yes",I$293,0),3)=0,"OK","ERROR")</f>
        <v>OK</v>
      </c>
      <c r="J42" s="223" t="str">
        <f>IF(ROUND(Data!I$117-J$33+IF($F$1="Yes",J$275,0)+IF($I$1="Yes",J$263,0)+IF($L$1="Yes",J$293,0),3)=0,"OK","ERROR")</f>
        <v>OK</v>
      </c>
      <c r="K42" s="225" t="str">
        <f aca="true" t="shared" si="23" ref="K42:T42">IF(ROUND(K$33-J$33-K$22,3)=0,"OK","ERROR")</f>
        <v>OK</v>
      </c>
      <c r="L42" s="225" t="str">
        <f t="shared" si="23"/>
        <v>OK</v>
      </c>
      <c r="M42" s="225" t="str">
        <f t="shared" si="23"/>
        <v>OK</v>
      </c>
      <c r="N42" s="225" t="str">
        <f t="shared" si="23"/>
        <v>OK</v>
      </c>
      <c r="O42" s="225" t="str">
        <f t="shared" si="23"/>
        <v>OK</v>
      </c>
      <c r="P42" s="225" t="str">
        <f t="shared" si="23"/>
        <v>OK</v>
      </c>
      <c r="Q42" s="225" t="str">
        <f t="shared" si="23"/>
        <v>OK</v>
      </c>
      <c r="R42" s="225" t="str">
        <f t="shared" si="23"/>
        <v>OK</v>
      </c>
      <c r="S42" s="225" t="str">
        <f t="shared" si="23"/>
        <v>OK</v>
      </c>
      <c r="T42" s="225" t="str">
        <f t="shared" si="23"/>
        <v>OK</v>
      </c>
    </row>
    <row r="43" spans="1:20" ht="12.75">
      <c r="A43" s="323" t="s">
        <v>784</v>
      </c>
      <c r="B43" s="335"/>
      <c r="C43" s="96"/>
      <c r="D43" s="242" t="str">
        <f>IF(ROUND(Data!C$88-D$37,3)=0,"OK","ERROR")</f>
        <v>OK</v>
      </c>
      <c r="E43" s="242" t="str">
        <f>IF(ROUND(Data!D$88-E$37,3)=0,"OK","ERROR")</f>
        <v>OK</v>
      </c>
      <c r="F43" s="223" t="str">
        <f>IF(ROUND(Data!E$88-F$37+IF($F$1="Yes",F$279,0)+IF($I$1="Yes",F$267,0)+IF($L$1="Yes",F$296,0),3)=0,"OK","ERROR")</f>
        <v>OK</v>
      </c>
      <c r="G43" s="223" t="str">
        <f>IF(ROUND(Data!F$88-G$37+IF($F$1="Yes",G$279,0)+IF($I$1="Yes",G$267,0)+IF($L$1="Yes",G$296,0),3)=0,"OK","ERROR")</f>
        <v>OK</v>
      </c>
      <c r="H43" s="223" t="str">
        <f>IF(ROUND(Data!G$88-H$37+IF($F$1="Yes",H$279,0)+IF($I$1="Yes",H$267,0)+IF($L$1="Yes",H$296,0),3)=0,"OK","ERROR")</f>
        <v>OK</v>
      </c>
      <c r="I43" s="223" t="str">
        <f>IF(ROUND(Data!H$88-I$37+IF($F$1="Yes",I$279,0)+IF($I$1="Yes",I$267,0)+IF($L$1="Yes",I$296,0),3)=0,"OK","ERROR")</f>
        <v>OK</v>
      </c>
      <c r="J43" s="223" t="str">
        <f>IF(ROUND(Data!I$88-J$37+IF($F$1="Yes",J$279,0)+IF($I$1="Yes",J$267,0)+IF($L$1="Yes",J$296,0),3)=0,"OK","ERROR")</f>
        <v>OK</v>
      </c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1:20" ht="12.75">
      <c r="A44" s="323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1:20" ht="15.75">
      <c r="A45" s="218" t="s">
        <v>140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</row>
    <row r="46" spans="1:20" ht="12.75">
      <c r="A46" s="145" t="s">
        <v>332</v>
      </c>
      <c r="C46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</row>
    <row r="47" spans="1:20" ht="12.75">
      <c r="A47" s="226" t="s">
        <v>217</v>
      </c>
      <c r="B47" s="335"/>
      <c r="C47"/>
      <c r="D47" s="94">
        <f>Data!C$120</f>
        <v>20.98</v>
      </c>
      <c r="E47" s="94">
        <f>Data!D$120</f>
        <v>23.345</v>
      </c>
      <c r="F47" s="169">
        <f ca="1">Data!E$120*IF($F$1="Yes",OFFSET(ReadyReckoner!$A$43,0,F$247),1)+IF($I$1="Yes",F$249,0)</f>
        <v>22.967</v>
      </c>
      <c r="G47" s="169">
        <f ca="1">Data!F$120*IF($F$1="Yes",OFFSET(ReadyReckoner!$A$43,0,G$247),1)+IF($I$1="Yes",G$249,0)</f>
        <v>21.699</v>
      </c>
      <c r="H47" s="169">
        <f ca="1">Data!G$120*IF($F$1="Yes",OFFSET(ReadyReckoner!$A$43,0,H$247),1)+IF($I$1="Yes",H$249,0)</f>
        <v>21.732</v>
      </c>
      <c r="I47" s="169">
        <f ca="1">Data!H$120*IF($F$1="Yes",OFFSET(ReadyReckoner!$A$43,0,I$247),1)+IF($I$1="Yes",I$249,0)</f>
        <v>22.594</v>
      </c>
      <c r="J47" s="169">
        <f ca="1">Data!I$120*IF($F$1="Yes",OFFSET(ReadyReckoner!$A$43,0,J$247),1)+IF($I$1="Yes",J$249,0)</f>
        <v>23.909</v>
      </c>
      <c r="K47" s="98">
        <f ca="1">J$47*(1+K$215)*(1+IF(AND(OFFSET(Scenarios!$A$21,0,$C$1)="YES",MID(OFFSET(Scenarios!$A$23,0,$C$1),6,2)&gt;=MID(K$3,4,2)),IF(OFFSET(Scenarios!$A$26,0,$C$1)="Inflation",1,OFFSET(Scenarios!$A$22,0,$C$1)),1)*K$218)*(1+IF(AND(OFFSET(Scenarios!$A$21,0,$C$1)="YES",MID(OFFSET(Scenarios!$A$23,0,$C$1),6,2)&gt;=MID(K$3,4,2)),IF(OFFSET(Scenarios!$A$26,0,$C$1)="Wage",1,OFFSET(Scenarios!$A$22,0,$C$1)),1)*K$206)</f>
        <v>25.66018507990872</v>
      </c>
      <c r="L47" s="98">
        <f ca="1">K$47*(1+L$215)*(1+IF(AND(OFFSET(Scenarios!$A$21,0,$C$1)="YES",MID(OFFSET(Scenarios!$A$23,0,$C$1),6,2)&gt;=MID(L$3,4,2)),IF(OFFSET(Scenarios!$A$26,0,$C$1)="Inflation",1,OFFSET(Scenarios!$A$22,0,$C$1)),1)*L$218)*(1+IF(AND(OFFSET(Scenarios!$A$21,0,$C$1)="YES",MID(OFFSET(Scenarios!$A$23,0,$C$1),6,2)&gt;=MID(L$3,4,2)),IF(OFFSET(Scenarios!$A$26,0,$C$1)="Wage",1,OFFSET(Scenarios!$A$22,0,$C$1)),1)*L$206)</f>
        <v>27.500646499179243</v>
      </c>
      <c r="M47" s="98">
        <f ca="1">L$47*(1+M$215)*(1+IF(AND(OFFSET(Scenarios!$A$21,0,$C$1)="YES",MID(OFFSET(Scenarios!$A$23,0,$C$1),6,2)&gt;=MID(M$3,4,2)),IF(OFFSET(Scenarios!$A$26,0,$C$1)="Inflation",1,OFFSET(Scenarios!$A$22,0,$C$1)),1)*M$218)*(1+IF(AND(OFFSET(Scenarios!$A$21,0,$C$1)="YES",MID(OFFSET(Scenarios!$A$23,0,$C$1),6,2)&gt;=MID(M$3,4,2)),IF(OFFSET(Scenarios!$A$26,0,$C$1)="Wage",1,OFFSET(Scenarios!$A$22,0,$C$1)),1)*M$206)</f>
        <v>29.391882998627054</v>
      </c>
      <c r="N47" s="98">
        <f ca="1">M$47*(1+N$215)*(1+IF(AND(OFFSET(Scenarios!$A$21,0,$C$1)="YES",MID(OFFSET(Scenarios!$A$23,0,$C$1),6,2)&gt;=MID(N$3,4,2)),IF(OFFSET(Scenarios!$A$26,0,$C$1)="Inflation",1,OFFSET(Scenarios!$A$22,0,$C$1)),1)*N$218)*(1+IF(AND(OFFSET(Scenarios!$A$21,0,$C$1)="YES",MID(OFFSET(Scenarios!$A$23,0,$C$1),6,2)&gt;=MID(N$3,4,2)),IF(OFFSET(Scenarios!$A$26,0,$C$1)="Wage",1,OFFSET(Scenarios!$A$22,0,$C$1)),1)*N$206)</f>
        <v>31.064295641824653</v>
      </c>
      <c r="O47" s="98">
        <f ca="1">N$47*(1+O$215)*(1+IF(AND(OFFSET(Scenarios!$A$21,0,$C$1)="YES",MID(OFFSET(Scenarios!$A$23,0,$C$1),6,2)&gt;=MID(O$3,4,2)),IF(OFFSET(Scenarios!$A$26,0,$C$1)="Inflation",1,OFFSET(Scenarios!$A$22,0,$C$1)),1)*O$218)*(1+IF(AND(OFFSET(Scenarios!$A$21,0,$C$1)="YES",MID(OFFSET(Scenarios!$A$23,0,$C$1),6,2)&gt;=MID(O$3,4,2)),IF(OFFSET(Scenarios!$A$26,0,$C$1)="Wage",1,OFFSET(Scenarios!$A$22,0,$C$1)),1)*O$206)</f>
        <v>32.77863855693482</v>
      </c>
      <c r="P47" s="98">
        <f ca="1">O$47*(1+P$215)*(1+IF(AND(OFFSET(Scenarios!$A$21,0,$C$1)="YES",MID(OFFSET(Scenarios!$A$23,0,$C$1),6,2)&gt;=MID(P$3,4,2)),IF(OFFSET(Scenarios!$A$26,0,$C$1)="Inflation",1,OFFSET(Scenarios!$A$22,0,$C$1)),1)*P$218)*(1+IF(AND(OFFSET(Scenarios!$A$21,0,$C$1)="YES",MID(OFFSET(Scenarios!$A$23,0,$C$1),6,2)&gt;=MID(P$3,4,2)),IF(OFFSET(Scenarios!$A$26,0,$C$1)="Wage",1,OFFSET(Scenarios!$A$22,0,$C$1)),1)*P$206)</f>
        <v>34.58004090254693</v>
      </c>
      <c r="Q47" s="98">
        <f ca="1">P$47*(1+Q$215)*(1+IF(AND(OFFSET(Scenarios!$A$21,0,$C$1)="YES",MID(OFFSET(Scenarios!$A$23,0,$C$1),6,2)&gt;=MID(Q$3,4,2)),IF(OFFSET(Scenarios!$A$26,0,$C$1)="Inflation",1,OFFSET(Scenarios!$A$22,0,$C$1)),1)*Q$218)*(1+IF(AND(OFFSET(Scenarios!$A$21,0,$C$1)="YES",MID(OFFSET(Scenarios!$A$23,0,$C$1),6,2)&gt;=MID(Q$3,4,2)),IF(OFFSET(Scenarios!$A$26,0,$C$1)="Wage",1,OFFSET(Scenarios!$A$22,0,$C$1)),1)*Q$206)</f>
        <v>36.47406076284251</v>
      </c>
      <c r="R47" s="98">
        <f ca="1">Q$47*(1+R$215)*(1+IF(AND(OFFSET(Scenarios!$A$21,0,$C$1)="YES",MID(OFFSET(Scenarios!$A$23,0,$C$1),6,2)&gt;=MID(R$3,4,2)),IF(OFFSET(Scenarios!$A$26,0,$C$1)="Inflation",1,OFFSET(Scenarios!$A$22,0,$C$1)),1)*R$218)*(1+IF(AND(OFFSET(Scenarios!$A$21,0,$C$1)="YES",MID(OFFSET(Scenarios!$A$23,0,$C$1),6,2)&gt;=MID(R$3,4,2)),IF(OFFSET(Scenarios!$A$26,0,$C$1)="Wage",1,OFFSET(Scenarios!$A$22,0,$C$1)),1)*R$206)</f>
        <v>38.45816163132814</v>
      </c>
      <c r="S47" s="98">
        <f ca="1">R$47*(1+S$215)*(1+IF(AND(OFFSET(Scenarios!$A$21,0,$C$1)="YES",MID(OFFSET(Scenarios!$A$23,0,$C$1),6,2)&gt;=MID(S$3,4,2)),IF(OFFSET(Scenarios!$A$26,0,$C$1)="Inflation",1,OFFSET(Scenarios!$A$22,0,$C$1)),1)*S$218)*(1+IF(AND(OFFSET(Scenarios!$A$21,0,$C$1)="YES",MID(OFFSET(Scenarios!$A$23,0,$C$1),6,2)&gt;=MID(S$3,4,2)),IF(OFFSET(Scenarios!$A$26,0,$C$1)="Wage",1,OFFSET(Scenarios!$A$22,0,$C$1)),1)*S$206)</f>
        <v>40.55750743025145</v>
      </c>
      <c r="T47" s="98">
        <f ca="1">S$47*(1+T$215)*(1+IF(AND(OFFSET(Scenarios!$A$21,0,$C$1)="YES",MID(OFFSET(Scenarios!$A$23,0,$C$1),6,2)&gt;=MID(T$3,4,2)),IF(OFFSET(Scenarios!$A$26,0,$C$1)="Inflation",1,OFFSET(Scenarios!$A$22,0,$C$1)),1)*T$218)*(1+IF(AND(OFFSET(Scenarios!$A$21,0,$C$1)="YES",MID(OFFSET(Scenarios!$A$23,0,$C$1),6,2)&gt;=MID(T$3,4,2)),IF(OFFSET(Scenarios!$A$26,0,$C$1)="Wage",1,OFFSET(Scenarios!$A$22,0,$C$1)),1)*T$206)</f>
        <v>42.76595429632966</v>
      </c>
    </row>
    <row r="48" spans="1:20" ht="12.75">
      <c r="A48" s="226" t="s">
        <v>390</v>
      </c>
      <c r="B48" s="335"/>
      <c r="C48" s="94"/>
      <c r="D48" s="94">
        <f>Data!C$124</f>
        <v>9.891</v>
      </c>
      <c r="E48" s="94">
        <f>Data!D$124</f>
        <v>10.122</v>
      </c>
      <c r="F48" s="169">
        <f ca="1">Data!E$124*IF($F$1="Yes",OFFSET(ReadyReckoner!$A$43,0,F$247),1)+IF($I$1="Yes",F$250,0)</f>
        <v>7.893</v>
      </c>
      <c r="G48" s="169">
        <f ca="1">Data!F$124*IF($F$1="Yes",OFFSET(ReadyReckoner!$A$43,0,G$247),1)+IF($I$1="Yes",G$250,0)</f>
        <v>7.852</v>
      </c>
      <c r="H48" s="169">
        <f ca="1">Data!G$124*IF($F$1="Yes",OFFSET(ReadyReckoner!$A$43,0,H$247),1)+IF($I$1="Yes",H$250,0)</f>
        <v>8.528</v>
      </c>
      <c r="I48" s="169">
        <f ca="1">Data!H$124*IF($F$1="Yes",OFFSET(ReadyReckoner!$A$43,0,I$247),1)+IF($I$1="Yes",I$250,0)</f>
        <v>9.483</v>
      </c>
      <c r="J48" s="169">
        <f ca="1">Data!I$124*IF($F$1="Yes",OFFSET(ReadyReckoner!$A$43,0,J$247),1)+IF($I$1="Yes",J$250,0)</f>
        <v>10.572</v>
      </c>
      <c r="K48" s="98">
        <f ca="1">IF(OFFSET(Scenarios!$A$44,0,$C$1)="Yes",IF(J$48/J$203&lt;OFFSET(Scenarios!$A$49,0,$C$1),MIN(J$48/J$203+OFFSET(Scenarios!$A$48,0,$C$1),OFFSET(Scenarios!$A$49,0,$C$1)),MAX(J$48/J$203-OFFSET(Scenarios!$A$48,0,$C$1),OFFSET(Scenarios!$A$49,0,$C$1)))*K$203,J$48*(1+K$204))</f>
        <v>11.35630901251434</v>
      </c>
      <c r="L48" s="98">
        <f ca="1">IF(OFFSET(Scenarios!$A$44,0,$C$1)="Yes",IF(K$48/K$203&lt;OFFSET(Scenarios!$A$49,0,$C$1),MIN(K$48/K$203+OFFSET(Scenarios!$A$48,0,$C$1),OFFSET(Scenarios!$A$49,0,$C$1)),MAX(K$48/K$203-OFFSET(Scenarios!$A$48,0,$C$1),OFFSET(Scenarios!$A$49,0,$C$1)))*L$203,K$48*(1+L$204))</f>
        <v>12.025675688010333</v>
      </c>
      <c r="M48" s="98">
        <f ca="1">IF(OFFSET(Scenarios!$A$44,0,$C$1)="Yes",IF(L$48/L$203&lt;OFFSET(Scenarios!$A$49,0,$C$1),MIN(L$48/L$203+OFFSET(Scenarios!$A$48,0,$C$1),OFFSET(Scenarios!$A$49,0,$C$1)),MAX(L$48/L$203-OFFSET(Scenarios!$A$48,0,$C$1),OFFSET(Scenarios!$A$49,0,$C$1)))*M$203,L$48*(1+M$204))</f>
        <v>12.69939878410766</v>
      </c>
      <c r="N48" s="98">
        <f ca="1">IF(OFFSET(Scenarios!$A$44,0,$C$1)="Yes",IF(M$48/M$203&lt;OFFSET(Scenarios!$A$49,0,$C$1),MIN(M$48/M$203+OFFSET(Scenarios!$A$48,0,$C$1),OFFSET(Scenarios!$A$49,0,$C$1)),MAX(M$48/M$203-OFFSET(Scenarios!$A$48,0,$C$1),OFFSET(Scenarios!$A$49,0,$C$1)))*N$203,M$48*(1+N$204))</f>
        <v>13.261920758840114</v>
      </c>
      <c r="O48" s="98">
        <f ca="1">IF(OFFSET(Scenarios!$A$44,0,$C$1)="Yes",IF(N$48/N$203&lt;OFFSET(Scenarios!$A$49,0,$C$1),MIN(N$48/N$203+OFFSET(Scenarios!$A$48,0,$C$1),OFFSET(Scenarios!$A$49,0,$C$1)),MAX(N$48/N$203-OFFSET(Scenarios!$A$48,0,$C$1),OFFSET(Scenarios!$A$49,0,$C$1)))*O$203,N$48*(1+O$204))</f>
        <v>13.826905550264868</v>
      </c>
      <c r="P48" s="98">
        <f ca="1">IF(OFFSET(Scenarios!$A$44,0,$C$1)="Yes",IF(O$48/O$203&lt;OFFSET(Scenarios!$A$49,0,$C$1),MIN(O$48/O$203+OFFSET(Scenarios!$A$48,0,$C$1),OFFSET(Scenarios!$A$49,0,$C$1)),MAX(O$48/O$203-OFFSET(Scenarios!$A$48,0,$C$1),OFFSET(Scenarios!$A$49,0,$C$1)))*P$203,O$48*(1+P$204))</f>
        <v>14.412813084459472</v>
      </c>
      <c r="Q48" s="98">
        <f ca="1">IF(OFFSET(Scenarios!$A$44,0,$C$1)="Yes",IF(P$48/P$203&lt;OFFSET(Scenarios!$A$49,0,$C$1),MIN(P$48/P$203+OFFSET(Scenarios!$A$48,0,$C$1),OFFSET(Scenarios!$A$49,0,$C$1)),MAX(P$48/P$203-OFFSET(Scenarios!$A$48,0,$C$1),OFFSET(Scenarios!$A$49,0,$C$1)))*Q$203,P$48*(1+Q$204))</f>
        <v>15.020920100887395</v>
      </c>
      <c r="R48" s="98">
        <f ca="1">IF(OFFSET(Scenarios!$A$44,0,$C$1)="Yes",IF(Q$48/Q$203&lt;OFFSET(Scenarios!$A$49,0,$C$1),MIN(Q$48/Q$203+OFFSET(Scenarios!$A$48,0,$C$1),OFFSET(Scenarios!$A$49,0,$C$1)),MAX(Q$48/Q$203-OFFSET(Scenarios!$A$48,0,$C$1),OFFSET(Scenarios!$A$49,0,$C$1)))*R$203,Q$48*(1+R$204))</f>
        <v>15.649126676119119</v>
      </c>
      <c r="S48" s="98">
        <f ca="1">IF(OFFSET(Scenarios!$A$44,0,$C$1)="Yes",IF(R$48/R$203&lt;OFFSET(Scenarios!$A$49,0,$C$1),MIN(R$48/R$203+OFFSET(Scenarios!$A$48,0,$C$1),OFFSET(Scenarios!$A$49,0,$C$1)),MAX(R$48/R$203-OFFSET(Scenarios!$A$48,0,$C$1),OFFSET(Scenarios!$A$49,0,$C$1)))*S$203,R$48*(1+S$204))</f>
        <v>16.306547096182857</v>
      </c>
      <c r="T48" s="98">
        <f ca="1">IF(OFFSET(Scenarios!$A$44,0,$C$1)="Yes",IF(S$48/S$203&lt;OFFSET(Scenarios!$A$49,0,$C$1),MIN(S$48/S$203+OFFSET(Scenarios!$A$48,0,$C$1),OFFSET(Scenarios!$A$49,0,$C$1)),MAX(S$48/S$203-OFFSET(Scenarios!$A$48,0,$C$1),OFFSET(Scenarios!$A$49,0,$C$1)))*T$203,S$48*(1+T$204))</f>
        <v>16.989401784752495</v>
      </c>
    </row>
    <row r="49" spans="1:20" ht="12.75">
      <c r="A49" s="226" t="s">
        <v>287</v>
      </c>
      <c r="B49" s="335"/>
      <c r="C49" s="94"/>
      <c r="D49" s="243">
        <f>SUM(Data!C$121:C$123,Data!C$125:C$127)</f>
        <v>22.193</v>
      </c>
      <c r="E49" s="243">
        <f>SUM(Data!D$121:D$123,Data!D$125:D$127)</f>
        <v>22.905</v>
      </c>
      <c r="F49" s="174">
        <f ca="1">SUM(Data!E$121:E$123,Data!E$125:E$127)*IF($F$1="Yes",OFFSET(ReadyReckoner!$A$43,0,F$247),1)+IF($I$1="Yes",F$251,0)</f>
        <v>22.663</v>
      </c>
      <c r="G49" s="174">
        <f ca="1">SUM(Data!F$121:F$123,Data!F$125:F$127)*IF($F$1="Yes",OFFSET(ReadyReckoner!$A$43,0,G$247),1)+IF($I$1="Yes",G$251,0)</f>
        <v>21.501</v>
      </c>
      <c r="H49" s="174">
        <f ca="1">SUM(Data!G$121:G$123,Data!G$125:G$127)*IF($F$1="Yes",OFFSET(ReadyReckoner!$A$43,0,H$247),1)+IF($I$1="Yes",H$251,0)</f>
        <v>21.066000000000003</v>
      </c>
      <c r="I49" s="174">
        <f ca="1">SUM(Data!H$121:H$123,Data!H$125:H$127)*IF($F$1="Yes",OFFSET(ReadyReckoner!$A$43,0,I$247),1)+IF($I$1="Yes",I$251,0)</f>
        <v>21.936</v>
      </c>
      <c r="J49" s="174">
        <f ca="1">SUM(Data!I$121:I$123,Data!I$125:I$127)*IF($F$1="Yes",OFFSET(ReadyReckoner!$A$43,0,J$247),1)+IF($I$1="Yes",J$251,0)</f>
        <v>23.3</v>
      </c>
      <c r="K49" s="106">
        <f ca="1">IF(OFFSET(Scenarios!$A$45,0,$C$1)="Yes",IF(J$49/J$203&lt;OFFSET(Scenarios!$A$50,0,$C$1),MIN(J$49/J$203+OFFSET(Scenarios!$A$48,0,$C$1),OFFSET(Scenarios!$A$50,0,$C$1)),MAX(J$49/J$203-OFFSET(Scenarios!$A$48,0,$C$1),OFFSET(Scenarios!$A$50,0,$C$1)))*K$203,J$49*(1+K$204))</f>
        <v>25.079838346759303</v>
      </c>
      <c r="L49" s="106">
        <f ca="1">IF(OFFSET(Scenarios!$A$45,0,$C$1)="Yes",IF(K$49/K$203&lt;OFFSET(Scenarios!$A$50,0,$C$1),MIN(K$49/K$203+OFFSET(Scenarios!$A$48,0,$C$1),OFFSET(Scenarios!$A$50,0,$C$1)),MAX(K$49/K$203-OFFSET(Scenarios!$A$48,0,$C$1),OFFSET(Scenarios!$A$50,0,$C$1)))*L$203,K$49*(1+L$204))</f>
        <v>27.01190012873341</v>
      </c>
      <c r="M49" s="106">
        <f ca="1">IF(OFFSET(Scenarios!$A$45,0,$C$1)="Yes",IF(L$49/L$203&lt;OFFSET(Scenarios!$A$50,0,$C$1),MIN(L$49/L$203+OFFSET(Scenarios!$A$48,0,$C$1),OFFSET(Scenarios!$A$50,0,$C$1)),MAX(L$49/L$203-OFFSET(Scenarios!$A$48,0,$C$1),OFFSET(Scenarios!$A$50,0,$C$1)))*M$203,L$49*(1+M$204))</f>
        <v>28.753355737602245</v>
      </c>
      <c r="N49" s="106">
        <f ca="1">IF(OFFSET(Scenarios!$A$45,0,$C$1)="Yes",IF(M$49/M$203&lt;OFFSET(Scenarios!$A$50,0,$C$1),MIN(M$49/M$203+OFFSET(Scenarios!$A$48,0,$C$1),OFFSET(Scenarios!$A$50,0,$C$1)),MAX(M$49/M$203-OFFSET(Scenarios!$A$48,0,$C$1),OFFSET(Scenarios!$A$50,0,$C$1)))*N$203,M$49*(1+N$204))</f>
        <v>30.026990397373844</v>
      </c>
      <c r="O49" s="106">
        <f ca="1">IF(OFFSET(Scenarios!$A$45,0,$C$1)="Yes",IF(N$49/N$203&lt;OFFSET(Scenarios!$A$50,0,$C$1),MIN(N$49/N$203+OFFSET(Scenarios!$A$48,0,$C$1),OFFSET(Scenarios!$A$50,0,$C$1)),MAX(N$49/N$203-OFFSET(Scenarios!$A$48,0,$C$1),OFFSET(Scenarios!$A$50,0,$C$1)))*O$203,N$49*(1+O$204))</f>
        <v>31.306201245882722</v>
      </c>
      <c r="P49" s="106">
        <f ca="1">IF(OFFSET(Scenarios!$A$45,0,$C$1)="Yes",IF(O$49/O$203&lt;OFFSET(Scenarios!$A$50,0,$C$1),MIN(O$49/O$203+OFFSET(Scenarios!$A$48,0,$C$1),OFFSET(Scenarios!$A$50,0,$C$1)),MAX(O$49/O$203-OFFSET(Scenarios!$A$48,0,$C$1),OFFSET(Scenarios!$A$50,0,$C$1)))*P$203,O$49*(1+P$204))</f>
        <v>32.632784342172386</v>
      </c>
      <c r="Q49" s="106">
        <f ca="1">IF(OFFSET(Scenarios!$A$45,0,$C$1)="Yes",IF(P$49/P$203&lt;OFFSET(Scenarios!$A$50,0,$C$1),MIN(P$49/P$203+OFFSET(Scenarios!$A$48,0,$C$1),OFFSET(Scenarios!$A$50,0,$C$1)),MAX(P$49/P$203-OFFSET(Scenarios!$A$48,0,$C$1),OFFSET(Scenarios!$A$50,0,$C$1)))*Q$203,P$49*(1+Q$204))</f>
        <v>34.00963041710354</v>
      </c>
      <c r="R49" s="106">
        <f ca="1">IF(OFFSET(Scenarios!$A$45,0,$C$1)="Yes",IF(Q$49/Q$203&lt;OFFSET(Scenarios!$A$50,0,$C$1),MIN(Q$49/Q$203+OFFSET(Scenarios!$A$48,0,$C$1),OFFSET(Scenarios!$A$50,0,$C$1)),MAX(Q$49/Q$203-OFFSET(Scenarios!$A$48,0,$C$1),OFFSET(Scenarios!$A$50,0,$C$1)))*R$203,Q$49*(1+R$204))</f>
        <v>35.43198492706215</v>
      </c>
      <c r="S49" s="106">
        <f ca="1">IF(OFFSET(Scenarios!$A$45,0,$C$1)="Yes",IF(R$49/R$203&lt;OFFSET(Scenarios!$A$50,0,$C$1),MIN(R$49/R$203+OFFSET(Scenarios!$A$48,0,$C$1),OFFSET(Scenarios!$A$50,0,$C$1)),MAX(R$49/R$203-OFFSET(Scenarios!$A$48,0,$C$1),OFFSET(Scenarios!$A$50,0,$C$1)))*S$203,R$49*(1+S$204))</f>
        <v>36.92048399135741</v>
      </c>
      <c r="T49" s="106">
        <f ca="1">IF(OFFSET(Scenarios!$A$45,0,$C$1)="Yes",IF(S$49/S$203&lt;OFFSET(Scenarios!$A$50,0,$C$1),MIN(S$49/S$203+OFFSET(Scenarios!$A$48,0,$C$1),OFFSET(Scenarios!$A$50,0,$C$1)),MAX(S$49/S$203-OFFSET(Scenarios!$A$48,0,$C$1),OFFSET(Scenarios!$A$50,0,$C$1)))*T$203,S$49*(1+T$204))</f>
        <v>38.46657007868489</v>
      </c>
    </row>
    <row r="50" spans="1:20" ht="12.75">
      <c r="A50" s="46" t="s">
        <v>288</v>
      </c>
      <c r="C50" s="94"/>
      <c r="D50" s="96">
        <f aca="true" t="shared" si="24" ref="D50:T50">SUM(D$47:D$49)</f>
        <v>53.06400000000001</v>
      </c>
      <c r="E50" s="96">
        <f t="shared" si="24"/>
        <v>56.372</v>
      </c>
      <c r="F50" s="175">
        <f t="shared" si="24"/>
        <v>53.522999999999996</v>
      </c>
      <c r="G50" s="175">
        <f t="shared" si="24"/>
        <v>51.05200000000001</v>
      </c>
      <c r="H50" s="175">
        <f t="shared" si="24"/>
        <v>51.326</v>
      </c>
      <c r="I50" s="175">
        <f t="shared" si="24"/>
        <v>54.013</v>
      </c>
      <c r="J50" s="175">
        <f t="shared" si="24"/>
        <v>57.78099999999999</v>
      </c>
      <c r="K50" s="100">
        <f t="shared" si="24"/>
        <v>62.09633243918236</v>
      </c>
      <c r="L50" s="100">
        <f t="shared" si="24"/>
        <v>66.53822231592298</v>
      </c>
      <c r="M50" s="100">
        <f t="shared" si="24"/>
        <v>70.84463752033696</v>
      </c>
      <c r="N50" s="100">
        <f t="shared" si="24"/>
        <v>74.35320679803861</v>
      </c>
      <c r="O50" s="100">
        <f t="shared" si="24"/>
        <v>77.91174535308241</v>
      </c>
      <c r="P50" s="100">
        <f t="shared" si="24"/>
        <v>81.6256383291788</v>
      </c>
      <c r="Q50" s="100">
        <f t="shared" si="24"/>
        <v>85.50461128083344</v>
      </c>
      <c r="R50" s="100">
        <f t="shared" si="24"/>
        <v>89.53927323450941</v>
      </c>
      <c r="S50" s="100">
        <f t="shared" si="24"/>
        <v>93.7845385177917</v>
      </c>
      <c r="T50" s="100">
        <f t="shared" si="24"/>
        <v>98.22192615976704</v>
      </c>
    </row>
    <row r="51" spans="1:20" ht="12.75">
      <c r="A51" s="227" t="s">
        <v>600</v>
      </c>
      <c r="C51" s="94"/>
      <c r="D51" s="243">
        <f aca="true" t="shared" si="25" ref="D51:J51">D$52-D$50</f>
        <v>0.4129999999999896</v>
      </c>
      <c r="E51" s="243">
        <f t="shared" si="25"/>
        <v>0.375</v>
      </c>
      <c r="F51" s="174">
        <f t="shared" si="25"/>
        <v>0.5300000000000011</v>
      </c>
      <c r="G51" s="174">
        <f t="shared" si="25"/>
        <v>0.5279999999999916</v>
      </c>
      <c r="H51" s="174">
        <f t="shared" si="25"/>
        <v>0.5180000000000007</v>
      </c>
      <c r="I51" s="174">
        <f t="shared" si="25"/>
        <v>0.578000000000003</v>
      </c>
      <c r="J51" s="174">
        <f t="shared" si="25"/>
        <v>0.6250000000000071</v>
      </c>
      <c r="K51" s="106">
        <f aca="true" t="shared" si="26" ref="K51:T51">J$51*(1+K$204)</f>
        <v>0.661247274249549</v>
      </c>
      <c r="L51" s="106">
        <f t="shared" si="26"/>
        <v>0.700222692156675</v>
      </c>
      <c r="M51" s="106">
        <f t="shared" si="26"/>
        <v>0.739451772697051</v>
      </c>
      <c r="N51" s="106">
        <f t="shared" si="26"/>
        <v>0.7722059115715227</v>
      </c>
      <c r="O51" s="106">
        <f t="shared" si="26"/>
        <v>0.805103453625933</v>
      </c>
      <c r="P51" s="106">
        <f t="shared" si="26"/>
        <v>0.8392192706155481</v>
      </c>
      <c r="Q51" s="106">
        <f t="shared" si="26"/>
        <v>0.8746277036391544</v>
      </c>
      <c r="R51" s="106">
        <f t="shared" si="26"/>
        <v>0.91120647981369</v>
      </c>
      <c r="S51" s="106">
        <f t="shared" si="26"/>
        <v>0.949486299456154</v>
      </c>
      <c r="T51" s="106">
        <f t="shared" si="26"/>
        <v>0.9892470880211375</v>
      </c>
    </row>
    <row r="52" spans="1:20" ht="12.75">
      <c r="A52" s="46" t="s">
        <v>395</v>
      </c>
      <c r="B52" s="335"/>
      <c r="C52" s="94"/>
      <c r="D52" s="96">
        <f>Data!C$95</f>
        <v>53.477</v>
      </c>
      <c r="E52" s="96">
        <f>Data!D$95</f>
        <v>56.747</v>
      </c>
      <c r="F52" s="175">
        <f ca="1">Data!E$95+IF($F$1="Yes",SUM(Data!E$120:E$127)*(OFFSET(ReadyReckoner!$A$43,0,F$247)-1),0)+IF($I$1="Yes",SUM(F$249:F$251),0)</f>
        <v>54.053</v>
      </c>
      <c r="G52" s="175">
        <f ca="1">Data!F$95+IF($F$1="Yes",SUM(Data!F$120:F$127)*(OFFSET(ReadyReckoner!$A$43,0,G$247)-1),0)+IF($I$1="Yes",SUM(G$249:G$251),0)</f>
        <v>51.58</v>
      </c>
      <c r="H52" s="175">
        <f ca="1">Data!G$95+IF($F$1="Yes",SUM(Data!G$120:G$127)*(OFFSET(ReadyReckoner!$A$43,0,H$247)-1),0)+IF($I$1="Yes",SUM(H$249:H$251),0)</f>
        <v>51.844</v>
      </c>
      <c r="I52" s="175">
        <f ca="1">Data!H$95+IF($F$1="Yes",SUM(Data!H$120:H$127)*(OFFSET(ReadyReckoner!$A$43,0,I$247)-1),0)+IF($I$1="Yes",SUM(I$249:I$251),0)</f>
        <v>54.591</v>
      </c>
      <c r="J52" s="175">
        <f ca="1">Data!I$95+IF($F$1="Yes",SUM(Data!I$120:I$127)*(OFFSET(ReadyReckoner!$A$43,0,J$247)-1),0)+IF($I$1="Yes",SUM(J$249:J$251),0)</f>
        <v>58.406</v>
      </c>
      <c r="K52" s="100">
        <f aca="true" t="shared" si="27" ref="K52:T52">SUM(K$50,K$51)</f>
        <v>62.75757971343191</v>
      </c>
      <c r="L52" s="100">
        <f t="shared" si="27"/>
        <v>67.23844500807965</v>
      </c>
      <c r="M52" s="100">
        <f t="shared" si="27"/>
        <v>71.58408929303401</v>
      </c>
      <c r="N52" s="100">
        <f t="shared" si="27"/>
        <v>75.12541270961013</v>
      </c>
      <c r="O52" s="100">
        <f t="shared" si="27"/>
        <v>78.71684880670834</v>
      </c>
      <c r="P52" s="100">
        <f t="shared" si="27"/>
        <v>82.46485759979434</v>
      </c>
      <c r="Q52" s="100">
        <f t="shared" si="27"/>
        <v>86.3792389844726</v>
      </c>
      <c r="R52" s="100">
        <f t="shared" si="27"/>
        <v>90.4504797143231</v>
      </c>
      <c r="S52" s="100">
        <f t="shared" si="27"/>
        <v>94.73402481724786</v>
      </c>
      <c r="T52" s="100">
        <f t="shared" si="27"/>
        <v>99.21117324778817</v>
      </c>
    </row>
    <row r="53" spans="1:19" ht="12.75">
      <c r="A53" s="46"/>
      <c r="C53" s="94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 s="145" t="s">
        <v>601</v>
      </c>
      <c r="C54" s="9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20" ht="12.75">
      <c r="A55" s="226" t="s">
        <v>753</v>
      </c>
      <c r="C55" s="94"/>
      <c r="D55" s="94">
        <f>D$177</f>
        <v>0</v>
      </c>
      <c r="E55" s="94">
        <f aca="true" t="shared" si="28" ref="E55:T55">E$177</f>
        <v>0</v>
      </c>
      <c r="F55" s="169">
        <f t="shared" si="28"/>
        <v>0</v>
      </c>
      <c r="G55" s="169">
        <f t="shared" si="28"/>
        <v>0.321</v>
      </c>
      <c r="H55" s="169">
        <f t="shared" si="28"/>
        <v>0.72</v>
      </c>
      <c r="I55" s="169">
        <f t="shared" si="28"/>
        <v>0.902</v>
      </c>
      <c r="J55" s="169">
        <f t="shared" si="28"/>
        <v>1.377</v>
      </c>
      <c r="K55" s="98">
        <f t="shared" si="28"/>
        <v>1.35</v>
      </c>
      <c r="L55" s="98">
        <f t="shared" si="28"/>
        <v>1.35</v>
      </c>
      <c r="M55" s="98">
        <f t="shared" si="28"/>
        <v>1.35</v>
      </c>
      <c r="N55" s="98">
        <f t="shared" si="28"/>
        <v>1.35</v>
      </c>
      <c r="O55" s="98">
        <f t="shared" si="28"/>
        <v>1.35</v>
      </c>
      <c r="P55" s="98">
        <f t="shared" si="28"/>
        <v>1.2479166666666666</v>
      </c>
      <c r="Q55" s="98">
        <f t="shared" si="28"/>
        <v>1.1458333333333335</v>
      </c>
      <c r="R55" s="98">
        <f t="shared" si="28"/>
        <v>1.04375</v>
      </c>
      <c r="S55" s="98">
        <f t="shared" si="28"/>
        <v>0.9416666666666667</v>
      </c>
      <c r="T55" s="98">
        <f t="shared" si="28"/>
        <v>0.8395833333333333</v>
      </c>
    </row>
    <row r="56" spans="1:20" ht="12.75">
      <c r="A56" s="226" t="s">
        <v>754</v>
      </c>
      <c r="B56" s="335"/>
      <c r="C56" s="94"/>
      <c r="D56" s="243">
        <f>SUM(Data!C$96,Data!C$97,Data!C$99)-D$55</f>
        <v>2.154</v>
      </c>
      <c r="E56" s="243">
        <f>SUM(Data!D$96,Data!D$97,Data!D$99)-E$55</f>
        <v>2.728</v>
      </c>
      <c r="F56" s="174">
        <f ca="1">SUM(Data!E$96,Data!E$97,Data!E$99)*IF($F$1="Yes",OFFSET(ReadyReckoner!$A$45,0,F$247),1)-F$55</f>
        <v>2.924</v>
      </c>
      <c r="G56" s="174">
        <f ca="1">SUM(Data!F$96,Data!F$97,Data!F$99)*IF($F$1="Yes",OFFSET(ReadyReckoner!$A$45,0,G$247),1)-G$55</f>
        <v>2.794</v>
      </c>
      <c r="H56" s="174">
        <f ca="1">SUM(Data!G$96,Data!G$97,Data!G$99)*IF($F$1="Yes",OFFSET(ReadyReckoner!$A$45,0,H$247),1)-H$55</f>
        <v>2.7890000000000006</v>
      </c>
      <c r="I56" s="174">
        <f ca="1">SUM(Data!H$96,Data!H$97,Data!H$99)*IF($F$1="Yes",OFFSET(ReadyReckoner!$A$45,0,I$247),1)-I$55</f>
        <v>2.8019999999999996</v>
      </c>
      <c r="J56" s="174">
        <f ca="1">SUM(Data!I$96,Data!I$97,Data!I$99)*IF($F$1="Yes",OFFSET(ReadyReckoner!$A$45,0,J$247),1)-J$55</f>
        <v>2.8070000000000004</v>
      </c>
      <c r="K56" s="106">
        <f aca="true" t="shared" si="29" ref="K56:T56">J$56*(1+K$206)</f>
        <v>2.860478810417573</v>
      </c>
      <c r="L56" s="106">
        <f t="shared" si="29"/>
        <v>2.9176883866259247</v>
      </c>
      <c r="M56" s="106">
        <f t="shared" si="29"/>
        <v>2.976042154358443</v>
      </c>
      <c r="N56" s="106">
        <f t="shared" si="29"/>
        <v>3.035562997445612</v>
      </c>
      <c r="O56" s="106">
        <f t="shared" si="29"/>
        <v>3.096274257394524</v>
      </c>
      <c r="P56" s="106">
        <f t="shared" si="29"/>
        <v>3.158199742542415</v>
      </c>
      <c r="Q56" s="106">
        <f t="shared" si="29"/>
        <v>3.221363737393263</v>
      </c>
      <c r="R56" s="106">
        <f t="shared" si="29"/>
        <v>3.2857910121411282</v>
      </c>
      <c r="S56" s="106">
        <f t="shared" si="29"/>
        <v>3.3515068323839508</v>
      </c>
      <c r="T56" s="106">
        <f t="shared" si="29"/>
        <v>3.4185369690316296</v>
      </c>
    </row>
    <row r="57" spans="1:20" ht="12.75">
      <c r="A57" s="46" t="s">
        <v>603</v>
      </c>
      <c r="C57" s="94"/>
      <c r="D57" s="96">
        <f>SUM(D$55:D$56)</f>
        <v>2.154</v>
      </c>
      <c r="E57" s="96">
        <f aca="true" t="shared" si="30" ref="E57:T57">SUM(E$55:E$56)</f>
        <v>2.728</v>
      </c>
      <c r="F57" s="175">
        <f t="shared" si="30"/>
        <v>2.924</v>
      </c>
      <c r="G57" s="175">
        <f t="shared" si="30"/>
        <v>3.115</v>
      </c>
      <c r="H57" s="175">
        <f t="shared" si="30"/>
        <v>3.5090000000000003</v>
      </c>
      <c r="I57" s="175">
        <f t="shared" si="30"/>
        <v>3.7039999999999997</v>
      </c>
      <c r="J57" s="175">
        <f t="shared" si="30"/>
        <v>4.184</v>
      </c>
      <c r="K57" s="100">
        <f t="shared" si="30"/>
        <v>4.210478810417573</v>
      </c>
      <c r="L57" s="100">
        <f t="shared" si="30"/>
        <v>4.267688386625925</v>
      </c>
      <c r="M57" s="100">
        <f t="shared" si="30"/>
        <v>4.3260421543584435</v>
      </c>
      <c r="N57" s="100">
        <f t="shared" si="30"/>
        <v>4.3855629974456125</v>
      </c>
      <c r="O57" s="100">
        <f t="shared" si="30"/>
        <v>4.446274257394524</v>
      </c>
      <c r="P57" s="100">
        <f t="shared" si="30"/>
        <v>4.406116409209082</v>
      </c>
      <c r="Q57" s="100">
        <f t="shared" si="30"/>
        <v>4.367197070726597</v>
      </c>
      <c r="R57" s="100">
        <f t="shared" si="30"/>
        <v>4.329541012141128</v>
      </c>
      <c r="S57" s="100">
        <f t="shared" si="30"/>
        <v>4.293173499050617</v>
      </c>
      <c r="T57" s="100">
        <f t="shared" si="30"/>
        <v>4.258120302364963</v>
      </c>
    </row>
    <row r="58" spans="1:20" ht="12.75">
      <c r="A58" s="46" t="s">
        <v>602</v>
      </c>
      <c r="B58" s="335"/>
      <c r="C58" s="94"/>
      <c r="D58" s="96">
        <f>SUM(Data!C$6,Data!C$7,Data!C$9)</f>
        <v>18.529999999999998</v>
      </c>
      <c r="E58" s="96">
        <f>SUM(Data!D$6,Data!D$7,Data!D$9)</f>
        <v>21.893</v>
      </c>
      <c r="F58" s="175">
        <f ca="1">SUM(Data!E$6,Data!E$7,Data!E$9)+IF($F$1="Yes",SUM(Data!E$96,Data!E$97,Data!E$99)*(OFFSET(ReadyReckoner!$A$45,0,F$247)-1),0)</f>
        <v>22.436999999999998</v>
      </c>
      <c r="G58" s="175">
        <f ca="1">SUM(Data!F$6,Data!F$7,Data!F$9)+IF($F$1="Yes",SUM(Data!F$96,Data!F$97,Data!F$99)*(OFFSET(ReadyReckoner!$A$45,0,G$247)-1),0)</f>
        <v>23.723</v>
      </c>
      <c r="H58" s="175">
        <f ca="1">SUM(Data!G$6,Data!G$7,Data!G$9)+IF($F$1="Yes",SUM(Data!G$96,Data!G$97,Data!G$99)*(OFFSET(ReadyReckoner!$A$45,0,H$247)-1),0)</f>
        <v>25.831999999999997</v>
      </c>
      <c r="I58" s="175">
        <f ca="1">SUM(Data!H$6,Data!H$7,Data!H$9)+IF($F$1="Yes",SUM(Data!H$96,Data!H$97,Data!H$99)*(OFFSET(ReadyReckoner!$A$45,0,I$247)-1),0)</f>
        <v>26.477</v>
      </c>
      <c r="J58" s="175">
        <f ca="1">SUM(Data!I$6,Data!I$7,Data!I$9)+IF($F$1="Yes",SUM(Data!I$96,Data!I$97,Data!I$99)*(OFFSET(ReadyReckoner!$A$45,0,J$247)-1),0)</f>
        <v>27.889</v>
      </c>
      <c r="K58" s="100">
        <f aca="true" t="shared" si="31" ref="K58:T58">SUM(K$57,(J$58-J$57)*(1+K$204))</f>
        <v>29.290265428154182</v>
      </c>
      <c r="L58" s="100">
        <f t="shared" si="31"/>
        <v>30.825734654743993</v>
      </c>
      <c r="M58" s="100">
        <f t="shared" si="31"/>
        <v>32.37196898921188</v>
      </c>
      <c r="N58" s="100">
        <f t="shared" si="31"/>
        <v>33.67378881153</v>
      </c>
      <c r="O58" s="100">
        <f t="shared" si="31"/>
        <v>34.982238046518574</v>
      </c>
      <c r="P58" s="100">
        <f t="shared" si="31"/>
        <v>36.23602490511524</v>
      </c>
      <c r="Q58" s="100">
        <f t="shared" si="31"/>
        <v>37.540076614352074</v>
      </c>
      <c r="R58" s="100">
        <f t="shared" si="31"/>
        <v>38.889780378514374</v>
      </c>
      <c r="S58" s="100">
        <f t="shared" si="31"/>
        <v>40.30528986482322</v>
      </c>
      <c r="T58" s="100">
        <f t="shared" si="31"/>
        <v>41.77828385683024</v>
      </c>
    </row>
    <row r="59" spans="1:19" ht="12.75">
      <c r="A59" s="50"/>
      <c r="C59" s="94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 s="145" t="s">
        <v>604</v>
      </c>
      <c r="C60" s="94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20" ht="12.75">
      <c r="A61" s="50" t="s">
        <v>453</v>
      </c>
      <c r="B61" s="102"/>
      <c r="C61" s="94"/>
      <c r="D61" s="94">
        <f>D$131</f>
        <v>0.436</v>
      </c>
      <c r="E61" s="94">
        <f>E$131</f>
        <v>0.385</v>
      </c>
      <c r="F61" s="141">
        <f>F$131</f>
        <v>0.399</v>
      </c>
      <c r="G61" s="141">
        <f>G$131</f>
        <v>0.397</v>
      </c>
      <c r="H61" s="141">
        <f>H$131</f>
        <v>0.424</v>
      </c>
      <c r="I61" s="141">
        <f>I$131</f>
        <v>0.458</v>
      </c>
      <c r="J61" s="141">
        <f>J$131</f>
        <v>0.498</v>
      </c>
      <c r="K61" s="98">
        <f>K$131</f>
        <v>0.42627899361702126</v>
      </c>
      <c r="L61" s="98">
        <f aca="true" t="shared" si="32" ref="L61:T61">L$131</f>
        <v>0.45430257465740426</v>
      </c>
      <c r="M61" s="98">
        <f t="shared" si="32"/>
        <v>0.484168425915382</v>
      </c>
      <c r="N61" s="98">
        <f t="shared" si="32"/>
        <v>0.5159976582350592</v>
      </c>
      <c r="O61" s="98">
        <f t="shared" si="32"/>
        <v>0.549919344287432</v>
      </c>
      <c r="P61" s="98">
        <f t="shared" si="32"/>
        <v>0.5860710419808878</v>
      </c>
      <c r="Q61" s="98">
        <f t="shared" si="32"/>
        <v>0.6245993522807113</v>
      </c>
      <c r="R61" s="98">
        <f t="shared" si="32"/>
        <v>0.6959484365223462</v>
      </c>
      <c r="S61" s="98">
        <f t="shared" si="32"/>
        <v>0.8041324500636258</v>
      </c>
      <c r="T61" s="98">
        <f t="shared" si="32"/>
        <v>0.9166637485851877</v>
      </c>
    </row>
    <row r="62" spans="1:20" ht="12.75">
      <c r="A62" s="50" t="s">
        <v>454</v>
      </c>
      <c r="B62" s="102"/>
      <c r="C62" s="94"/>
      <c r="D62" s="94">
        <f>D$152</f>
        <v>0.36</v>
      </c>
      <c r="E62" s="94">
        <f aca="true" t="shared" si="33" ref="E62:T62">E$152</f>
        <v>0.407</v>
      </c>
      <c r="F62" s="141">
        <f t="shared" si="33"/>
        <v>0.48</v>
      </c>
      <c r="G62" s="141">
        <f t="shared" si="33"/>
        <v>0.516</v>
      </c>
      <c r="H62" s="141">
        <f t="shared" si="33"/>
        <v>0.557</v>
      </c>
      <c r="I62" s="141">
        <f t="shared" si="33"/>
        <v>0.597</v>
      </c>
      <c r="J62" s="141">
        <f t="shared" si="33"/>
        <v>0.635</v>
      </c>
      <c r="K62" s="98">
        <f t="shared" si="33"/>
        <v>0.6628863282675345</v>
      </c>
      <c r="L62" s="98">
        <f t="shared" si="33"/>
        <v>0.6842227774659684</v>
      </c>
      <c r="M62" s="98">
        <f t="shared" si="33"/>
        <v>0.705352019302917</v>
      </c>
      <c r="N62" s="98">
        <f t="shared" si="33"/>
        <v>0.7278629141409773</v>
      </c>
      <c r="O62" s="98">
        <f t="shared" si="33"/>
        <v>0.7517030671499223</v>
      </c>
      <c r="P62" s="98">
        <f t="shared" si="33"/>
        <v>0.7774013884090084</v>
      </c>
      <c r="Q62" s="98">
        <f t="shared" si="33"/>
        <v>0.8030913563912048</v>
      </c>
      <c r="R62" s="98">
        <f t="shared" si="33"/>
        <v>0.829615372522663</v>
      </c>
      <c r="S62" s="98">
        <f t="shared" si="33"/>
        <v>0.8584944822053611</v>
      </c>
      <c r="T62" s="98">
        <f t="shared" si="33"/>
        <v>0.8893496716831566</v>
      </c>
    </row>
    <row r="63" spans="1:20" ht="12.75">
      <c r="A63" s="50" t="s">
        <v>744</v>
      </c>
      <c r="B63" s="102"/>
      <c r="C63" s="94"/>
      <c r="D63" s="243">
        <f>D$64-SUM(D$61:D$62)</f>
        <v>1.784</v>
      </c>
      <c r="E63" s="243">
        <f>E$64-SUM(E$61:E$62)</f>
        <v>1.5519999999999998</v>
      </c>
      <c r="F63" s="174">
        <f>F$64-SUM(F$61:F$62)</f>
        <v>1.018</v>
      </c>
      <c r="G63" s="174">
        <f>G$64-SUM(G$61:G$62)</f>
        <v>1.163</v>
      </c>
      <c r="H63" s="174">
        <f>H$64-SUM(H$61:H$62)</f>
        <v>1.184</v>
      </c>
      <c r="I63" s="174">
        <f>I$64-SUM(I$61:I$62)</f>
        <v>1.188</v>
      </c>
      <c r="J63" s="174">
        <f>J$64-SUM(J$61:J$62)</f>
        <v>1.323</v>
      </c>
      <c r="K63" s="421">
        <f>J$63*SUM(K$119,K$120,K$122)/SUM(J$119,J$120,J$122)</f>
        <v>1.3482057236132698</v>
      </c>
      <c r="L63" s="421">
        <f aca="true" t="shared" si="34" ref="L63:T63">K$63*SUM(L$119,L$120,L$122)/SUM(K$119,K$120,K$122)</f>
        <v>1.3751698380855353</v>
      </c>
      <c r="M63" s="421">
        <f t="shared" si="34"/>
        <v>1.402673234847246</v>
      </c>
      <c r="N63" s="421">
        <f t="shared" si="34"/>
        <v>1.430726699544191</v>
      </c>
      <c r="O63" s="421">
        <f t="shared" si="34"/>
        <v>1.4593412335350746</v>
      </c>
      <c r="P63" s="421">
        <f t="shared" si="34"/>
        <v>1.488528058205776</v>
      </c>
      <c r="Q63" s="421">
        <f t="shared" si="34"/>
        <v>1.518298619369892</v>
      </c>
      <c r="R63" s="421">
        <f t="shared" si="34"/>
        <v>1.5486645917572897</v>
      </c>
      <c r="S63" s="421">
        <f t="shared" si="34"/>
        <v>1.5796378835924356</v>
      </c>
      <c r="T63" s="421">
        <f t="shared" si="34"/>
        <v>1.6112306412642843</v>
      </c>
    </row>
    <row r="64" spans="1:20" ht="12.75">
      <c r="A64" s="46" t="s">
        <v>458</v>
      </c>
      <c r="B64" s="335"/>
      <c r="C64" s="94"/>
      <c r="D64" s="96">
        <f>Data!C$98</f>
        <v>2.58</v>
      </c>
      <c r="E64" s="96">
        <f>Data!D$98</f>
        <v>2.344</v>
      </c>
      <c r="F64" s="175">
        <f ca="1">Data!E$98*IF($F$1="Yes",OFFSET(ReadyReckoner!$A$46,0,F$247),1)+IF($I$1="Yes",F$252,0)+IF($L$1="Yes",F$282,0)</f>
        <v>1.897</v>
      </c>
      <c r="G64" s="175">
        <f ca="1">Data!F$98*IF($F$1="Yes",OFFSET(ReadyReckoner!$A$46,0,G$247),1)+IF($I$1="Yes",G$252,0)+IF($L$1="Yes",G$282,0)</f>
        <v>2.076</v>
      </c>
      <c r="H64" s="175">
        <f ca="1">Data!G$98*IF($F$1="Yes",OFFSET(ReadyReckoner!$A$46,0,H$247),1)+IF($I$1="Yes",H$252,0)+IF($L$1="Yes",H$282,0)</f>
        <v>2.165</v>
      </c>
      <c r="I64" s="175">
        <f ca="1">Data!H$98*IF($F$1="Yes",OFFSET(ReadyReckoner!$A$46,0,I$247),1)+IF($I$1="Yes",I$252,0)+IF($L$1="Yes",I$282,0)</f>
        <v>2.243</v>
      </c>
      <c r="J64" s="175">
        <f ca="1">Data!I$98*IF($F$1="Yes",OFFSET(ReadyReckoner!$A$46,0,J$247),1)+IF($I$1="Yes",J$252,0)+IF($L$1="Yes",J$282,0)</f>
        <v>2.456</v>
      </c>
      <c r="K64" s="100">
        <f>SUM(K$61:K$63)</f>
        <v>2.4373710454978257</v>
      </c>
      <c r="L64" s="100">
        <f aca="true" t="shared" si="35" ref="L64:T64">SUM(L$61:L$63)</f>
        <v>2.513695190208908</v>
      </c>
      <c r="M64" s="100">
        <f t="shared" si="35"/>
        <v>2.592193680065545</v>
      </c>
      <c r="N64" s="100">
        <f t="shared" si="35"/>
        <v>2.6745872719202275</v>
      </c>
      <c r="O64" s="100">
        <f t="shared" si="35"/>
        <v>2.760963644972429</v>
      </c>
      <c r="P64" s="100">
        <f t="shared" si="35"/>
        <v>2.8520004885956722</v>
      </c>
      <c r="Q64" s="100">
        <f t="shared" si="35"/>
        <v>2.945989328041808</v>
      </c>
      <c r="R64" s="100">
        <f t="shared" si="35"/>
        <v>3.0742284008022986</v>
      </c>
      <c r="S64" s="100">
        <f t="shared" si="35"/>
        <v>3.2422648158614225</v>
      </c>
      <c r="T64" s="100">
        <f t="shared" si="35"/>
        <v>3.4172440615326285</v>
      </c>
    </row>
    <row r="65" spans="1:20" ht="12.75">
      <c r="A65" s="50" t="s">
        <v>745</v>
      </c>
      <c r="B65" s="335"/>
      <c r="C65" s="94"/>
      <c r="D65" s="243">
        <f>SUM(Data!C$130:C$131)-Data!C$132</f>
        <v>0.41500000000000004</v>
      </c>
      <c r="E65" s="243">
        <f>SUM(Data!D$130:D$131)-Data!D$132</f>
        <v>0.8700000000000001</v>
      </c>
      <c r="F65" s="174">
        <f>SUM(Data!E$130:E$131)-Data!E$132</f>
        <v>1.102</v>
      </c>
      <c r="G65" s="174">
        <f>SUM(Data!F$130:F$131)-Data!F$132</f>
        <v>1.0829999999999997</v>
      </c>
      <c r="H65" s="174">
        <f>SUM(Data!G$130:G$131)-Data!G$132</f>
        <v>1.166</v>
      </c>
      <c r="I65" s="174">
        <f>SUM(Data!H$130:H$131)-Data!H$132</f>
        <v>1.12</v>
      </c>
      <c r="J65" s="174">
        <f>SUM(Data!I$130:I$131)-Data!I$132</f>
        <v>0.986</v>
      </c>
      <c r="K65" s="106">
        <f aca="true" t="shared" si="36" ref="K65:T65">J$65*SUM(K$124,K$125)/SUM(J$124,J$125)</f>
        <v>1.0431836998560766</v>
      </c>
      <c r="L65" s="106">
        <f t="shared" si="36"/>
        <v>1.104671319146358</v>
      </c>
      <c r="M65" s="106">
        <f t="shared" si="36"/>
        <v>1.1665591166068547</v>
      </c>
      <c r="N65" s="106">
        <f t="shared" si="36"/>
        <v>1.2182320460952207</v>
      </c>
      <c r="O65" s="106">
        <f t="shared" si="36"/>
        <v>1.2701312084402578</v>
      </c>
      <c r="P65" s="106">
        <f t="shared" si="36"/>
        <v>1.323952321323074</v>
      </c>
      <c r="Q65" s="106">
        <f t="shared" si="36"/>
        <v>1.3798126652611147</v>
      </c>
      <c r="R65" s="106">
        <f t="shared" si="36"/>
        <v>1.437519342554061</v>
      </c>
      <c r="S65" s="106">
        <f t="shared" si="36"/>
        <v>1.4979095860220117</v>
      </c>
      <c r="T65" s="106">
        <f t="shared" si="36"/>
        <v>1.560636206062129</v>
      </c>
    </row>
    <row r="66" spans="1:20" ht="12.75">
      <c r="A66" s="46" t="s">
        <v>396</v>
      </c>
      <c r="B66" s="102"/>
      <c r="C66" s="94"/>
      <c r="D66" s="96">
        <f>SUM(D$64,D$65)</f>
        <v>2.995</v>
      </c>
      <c r="E66" s="96">
        <f>SUM(E$64,E$65)</f>
        <v>3.214</v>
      </c>
      <c r="F66" s="175">
        <f>SUM(F$64,F$65)</f>
        <v>2.999</v>
      </c>
      <c r="G66" s="175">
        <f aca="true" t="shared" si="37" ref="G66:T66">SUM(G$64,G$65)</f>
        <v>3.159</v>
      </c>
      <c r="H66" s="175">
        <f t="shared" si="37"/>
        <v>3.331</v>
      </c>
      <c r="I66" s="175">
        <f t="shared" si="37"/>
        <v>3.363</v>
      </c>
      <c r="J66" s="175">
        <f t="shared" si="37"/>
        <v>3.442</v>
      </c>
      <c r="K66" s="100">
        <f t="shared" si="37"/>
        <v>3.4805547453539023</v>
      </c>
      <c r="L66" s="100">
        <f t="shared" si="37"/>
        <v>3.618366509355266</v>
      </c>
      <c r="M66" s="100">
        <f t="shared" si="37"/>
        <v>3.7587527966724</v>
      </c>
      <c r="N66" s="100">
        <f t="shared" si="37"/>
        <v>3.892819318015448</v>
      </c>
      <c r="O66" s="100">
        <f t="shared" si="37"/>
        <v>4.031094853412687</v>
      </c>
      <c r="P66" s="100">
        <f t="shared" si="37"/>
        <v>4.175952809918746</v>
      </c>
      <c r="Q66" s="100">
        <f t="shared" si="37"/>
        <v>4.325801993302923</v>
      </c>
      <c r="R66" s="100">
        <f t="shared" si="37"/>
        <v>4.511747743356359</v>
      </c>
      <c r="S66" s="100">
        <f t="shared" si="37"/>
        <v>4.740174401883435</v>
      </c>
      <c r="T66" s="100">
        <f t="shared" si="37"/>
        <v>4.977880267594758</v>
      </c>
    </row>
    <row r="67" spans="1:20" ht="12.75">
      <c r="A67" s="49"/>
      <c r="C67" s="94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</row>
    <row r="68" spans="1:20" ht="12.75">
      <c r="A68" s="145" t="s">
        <v>681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</row>
    <row r="69" spans="1:20" ht="12.75">
      <c r="A69" s="50" t="s">
        <v>293</v>
      </c>
      <c r="B69" s="335"/>
      <c r="C69" s="94"/>
      <c r="D69" s="94">
        <f>Data!C$135</f>
        <v>6.81</v>
      </c>
      <c r="E69" s="94">
        <f>Data!D$135</f>
        <v>7.348</v>
      </c>
      <c r="F69" s="169">
        <f ca="1">Data!E$135*IF($F$1="Yes",OFFSET(ReadyReckoner!$A$50,0,F$247),1)+IF($I$1="Yes",F$253,0)</f>
        <v>7.746</v>
      </c>
      <c r="G69" s="169">
        <f ca="1">Data!F$135*IF($F$1="Yes",OFFSET(ReadyReckoner!$A$50,0,G$247),1)+IF($I$1="Yes",G$253,0)</f>
        <v>8.246</v>
      </c>
      <c r="H69" s="169">
        <f ca="1">Data!G$135*IF($F$1="Yes",OFFSET(ReadyReckoner!$A$50,0,H$247),1)+IF($I$1="Yes",H$253,0)</f>
        <v>8.665</v>
      </c>
      <c r="I69" s="169">
        <f ca="1">Data!H$135*IF($F$1="Yes",OFFSET(ReadyReckoner!$A$50,0,I$247),1)+IF($I$1="Yes",I$253,0)</f>
        <v>9.186</v>
      </c>
      <c r="J69" s="169">
        <f ca="1">Data!I$135*IF($F$1="Yes",OFFSET(ReadyReckoner!$A$50,0,J$247),1)+IF($I$1="Yes",J$253,0)</f>
        <v>9.666</v>
      </c>
      <c r="K69" s="98">
        <f>J$69*(K$79/J$79)*(1+Popn!K$201)</f>
        <v>10.223801700259253</v>
      </c>
      <c r="L69" s="98">
        <f>K$69*(L$79/K$79)*(1+Popn!L$201)</f>
        <v>10.915914071132661</v>
      </c>
      <c r="M69" s="98">
        <f>L$69*(M$79/L$79)*(1+Popn!M$201)</f>
        <v>11.628113475432272</v>
      </c>
      <c r="N69" s="98">
        <f>M$69*(N$79/M$79)*(1+Popn!N$201)</f>
        <v>12.378123577763784</v>
      </c>
      <c r="O69" s="98">
        <f>N$69*(O$79/N$79)*(1+Popn!O$201)</f>
        <v>13.163957073173362</v>
      </c>
      <c r="P69" s="98">
        <f>O$69*(P$79/O$79)*(1+Popn!P$201)</f>
        <v>14.007301840872335</v>
      </c>
      <c r="Q69" s="98">
        <f>P$69*(Q$79/P$79)*(1+Popn!Q$201)</f>
        <v>14.90291304325478</v>
      </c>
      <c r="R69" s="98">
        <f>Q$69*(R$79/Q$79)*(1+Popn!R$201)</f>
        <v>15.868106953695564</v>
      </c>
      <c r="S69" s="98">
        <f>R$69*(S$79/R$79)*(1+Popn!S$201)</f>
        <v>16.8897152095061</v>
      </c>
      <c r="T69" s="98">
        <f>S$69*(T$79/S$79)*(1+Popn!T$201)</f>
        <v>17.95898529737217</v>
      </c>
    </row>
    <row r="70" spans="1:20" ht="12.75">
      <c r="A70" s="50" t="s">
        <v>262</v>
      </c>
      <c r="B70" s="335"/>
      <c r="C70" s="94"/>
      <c r="D70" s="94">
        <f>Data!C$137</f>
        <v>0.613</v>
      </c>
      <c r="E70" s="94">
        <f>Data!D$137</f>
        <v>0.458</v>
      </c>
      <c r="F70" s="169">
        <f ca="1">Data!E$137*IF($F$1="Yes",OFFSET(ReadyReckoner!$A$45,0,F$247)*OFFSET(ReadyReckoner!$A$51,0,F$247),1)</f>
        <v>0.588</v>
      </c>
      <c r="G70" s="169">
        <f ca="1">Data!F$137*IF($F$1="Yes",OFFSET(ReadyReckoner!$A$45,0,G$247)*OFFSET(ReadyReckoner!$A$51,0,G$247),1)</f>
        <v>1.078</v>
      </c>
      <c r="H70" s="169">
        <f ca="1">Data!G$137*IF($F$1="Yes",OFFSET(ReadyReckoner!$A$45,0,H$247)*OFFSET(ReadyReckoner!$A$51,0,H$247),1)</f>
        <v>1.268</v>
      </c>
      <c r="I70" s="169">
        <f ca="1">Data!H$137*IF($F$1="Yes",OFFSET(ReadyReckoner!$A$45,0,I$247)*OFFSET(ReadyReckoner!$A$51,0,I$247),1)</f>
        <v>1.283</v>
      </c>
      <c r="J70" s="169">
        <f ca="1">Data!I$137*IF($F$1="Yes",OFFSET(ReadyReckoner!$A$45,0,J$247)*OFFSET(ReadyReckoner!$A$51,0,J$247),1)</f>
        <v>1.205</v>
      </c>
      <c r="K70" s="98">
        <f aca="true" t="shared" si="38" ref="K70:T70">J$70*(1+K$206)*(K$210*K$213)/(J$210*J$213)</f>
        <v>1.1329752649645664</v>
      </c>
      <c r="L70" s="98">
        <f t="shared" si="38"/>
        <v>1.1218397879568127</v>
      </c>
      <c r="M70" s="98">
        <f t="shared" si="38"/>
        <v>1.1671817013979993</v>
      </c>
      <c r="N70" s="98">
        <f t="shared" si="38"/>
        <v>1.2008691708206063</v>
      </c>
      <c r="O70" s="98">
        <f t="shared" si="38"/>
        <v>1.2335257530767194</v>
      </c>
      <c r="P70" s="98">
        <f t="shared" si="38"/>
        <v>1.266793822540249</v>
      </c>
      <c r="Q70" s="98">
        <f t="shared" si="38"/>
        <v>1.3007315553945857</v>
      </c>
      <c r="R70" s="98">
        <f t="shared" si="38"/>
        <v>1.3351043288657751</v>
      </c>
      <c r="S70" s="98">
        <f t="shared" si="38"/>
        <v>1.3706326242630882</v>
      </c>
      <c r="T70" s="98">
        <f t="shared" si="38"/>
        <v>1.4069254983340205</v>
      </c>
    </row>
    <row r="71" spans="1:20" ht="12.75">
      <c r="A71" s="50" t="s">
        <v>289</v>
      </c>
      <c r="B71" s="335"/>
      <c r="C71" s="94"/>
      <c r="D71" s="94">
        <f>SUM(Data!C$136,Data!C$138,Data!C$139)</f>
        <v>3.1729999999999996</v>
      </c>
      <c r="E71" s="94">
        <f>SUM(Data!D$136,Data!D$138,Data!D$139)</f>
        <v>3.276</v>
      </c>
      <c r="F71" s="169">
        <f ca="1">SUM(Data!E$136,Data!E$138,Data!E$139)*IF($F$1="Yes",OFFSET(ReadyReckoner!$A$45,0,F$247),1)+IF($I$1="Yes",F$254,0)</f>
        <v>3.396</v>
      </c>
      <c r="G71" s="169">
        <f ca="1">SUM(Data!F$136,Data!F$138,Data!F$139)*IF($F$1="Yes",OFFSET(ReadyReckoner!$A$45,0,G$247),1)+IF($I$1="Yes",G$254,0)</f>
        <v>3.636</v>
      </c>
      <c r="H71" s="169">
        <f ca="1">SUM(Data!G$136,Data!G$138,Data!G$139)*IF($F$1="Yes",OFFSET(ReadyReckoner!$A$45,0,H$247),1)+IF($I$1="Yes",H$254,0)</f>
        <v>3.784</v>
      </c>
      <c r="I71" s="169">
        <f ca="1">SUM(Data!H$136,Data!H$138,Data!H$139)*IF($F$1="Yes",OFFSET(ReadyReckoner!$A$45,0,I$247),1)+IF($I$1="Yes",I$254,0)</f>
        <v>3.881</v>
      </c>
      <c r="J71" s="169">
        <f ca="1">SUM(Data!I$136,Data!I$138,Data!I$139)*IF($F$1="Yes",OFFSET(ReadyReckoner!$A$45,0,J$247),1)+IF($I$1="Yes",J$254,0)</f>
        <v>3.928</v>
      </c>
      <c r="K71" s="98">
        <f>J$71*(1+K$206)*(1+SUMPRODUCT(Popn!K$204:K$214,Tracks!$H$91:$H$101)+SUMPRODUCT(Popn!K$215:K$225,Tracks!$I$91:$I$101))</f>
        <v>4.023241454493903</v>
      </c>
      <c r="L71" s="98">
        <f>K$71*(1+L$206)*(1+SUMPRODUCT(Popn!L$204:L$214,Tracks!$H$91:$H$101)+SUMPRODUCT(Popn!L$215:L$225,Tracks!$I$91:$I$101))</f>
        <v>4.122854396207244</v>
      </c>
      <c r="M71" s="98">
        <f>L$71*(1+M$206)*(1+SUMPRODUCT(Popn!M$204:M$214,Tracks!$H$91:$H$101)+SUMPRODUCT(Popn!M$215:M$225,Tracks!$I$91:$I$101))</f>
        <v>4.22652941873269</v>
      </c>
      <c r="N71" s="98">
        <f>M$71*(1+N$206)*(1+SUMPRODUCT(Popn!N$204:N$214,Tracks!$H$91:$H$101)+SUMPRODUCT(Popn!N$215:N$225,Tracks!$I$91:$I$101))</f>
        <v>4.329885207430175</v>
      </c>
      <c r="O71" s="98">
        <f>N$71*(1+O$206)*(1+SUMPRODUCT(Popn!O$204:O$214,Tracks!$H$91:$H$101)+SUMPRODUCT(Popn!O$215:O$225,Tracks!$I$91:$I$101))</f>
        <v>4.43802025896612</v>
      </c>
      <c r="P71" s="98">
        <f>O$71*(1+P$206)*(1+SUMPRODUCT(Popn!P$204:P$214,Tracks!$H$91:$H$101)+SUMPRODUCT(Popn!P$215:P$225,Tracks!$I$91:$I$101))</f>
        <v>4.544482977374443</v>
      </c>
      <c r="Q71" s="98">
        <f>P$71*(1+Q$206)*(1+SUMPRODUCT(Popn!Q$204:Q$214,Tracks!$H$91:$H$101)+SUMPRODUCT(Popn!Q$215:Q$225,Tracks!$I$91:$I$101))</f>
        <v>4.649484327739158</v>
      </c>
      <c r="R71" s="98">
        <f>Q$71*(1+R$206)*(1+SUMPRODUCT(Popn!R$204:R$214,Tracks!$H$91:$H$101)+SUMPRODUCT(Popn!R$215:R$225,Tracks!$I$91:$I$101))</f>
        <v>4.754004867479097</v>
      </c>
      <c r="S71" s="98">
        <f>R$71*(1+S$206)*(1+SUMPRODUCT(Popn!S$204:S$214,Tracks!$H$91:$H$101)+SUMPRODUCT(Popn!S$215:S$225,Tracks!$I$91:$I$101))</f>
        <v>4.861780981344688</v>
      </c>
      <c r="T71" s="98">
        <f>S$71*(1+T$206)*(1+SUMPRODUCT(Popn!T$204:T$214,Tracks!$H$91:$H$101)+SUMPRODUCT(Popn!T$215:T$225,Tracks!$I$91:$I$101))</f>
        <v>4.970716019295176</v>
      </c>
    </row>
    <row r="72" spans="1:20" ht="12.75">
      <c r="A72" s="226" t="s">
        <v>291</v>
      </c>
      <c r="B72" s="57"/>
      <c r="C72" s="94"/>
      <c r="D72" s="243">
        <f>D$73-SUM(D$69:D$71)</f>
        <v>6.172000000000001</v>
      </c>
      <c r="E72" s="243">
        <f aca="true" t="shared" si="39" ref="E72:J72">E$73-SUM(E$69:E$71)</f>
        <v>6.794999999999998</v>
      </c>
      <c r="F72" s="174">
        <f t="shared" si="39"/>
        <v>7.745000000000001</v>
      </c>
      <c r="G72" s="174">
        <f t="shared" si="39"/>
        <v>8.178999999999998</v>
      </c>
      <c r="H72" s="174">
        <f t="shared" si="39"/>
        <v>8.397000000000002</v>
      </c>
      <c r="I72" s="174">
        <f t="shared" si="39"/>
        <v>8.575000000000001</v>
      </c>
      <c r="J72" s="174">
        <f t="shared" si="39"/>
        <v>8.773</v>
      </c>
      <c r="K72" s="106">
        <f>J$72*(1+K$206)*(1+AVERAGE(Popn!K$197,Popn!K$202))</f>
        <v>8.987637058047053</v>
      </c>
      <c r="L72" s="106">
        <f>K$72*(1+L$206)*(1+AVERAGE(Popn!L$197,Popn!L$202))</f>
        <v>9.213420074693717</v>
      </c>
      <c r="M72" s="106">
        <f>L$72*(1+M$206)*(1+AVERAGE(Popn!M$197,Popn!M$202))</f>
        <v>9.446101513267267</v>
      </c>
      <c r="N72" s="106">
        <f>M$72*(1+N$206)*(1+AVERAGE(Popn!N$197,Popn!N$202))</f>
        <v>9.688176894444847</v>
      </c>
      <c r="O72" s="106">
        <f>N$72*(1+O$206)*(1+AVERAGE(Popn!O$197,Popn!O$202))</f>
        <v>9.934577422101661</v>
      </c>
      <c r="P72" s="106">
        <f>O$72*(1+P$206)*(1+AVERAGE(Popn!P$197,Popn!P$202))</f>
        <v>10.188185444210438</v>
      </c>
      <c r="Q72" s="106">
        <f>P$72*(1+Q$206)*(1+AVERAGE(Popn!Q$197,Popn!Q$202))</f>
        <v>10.437965839697073</v>
      </c>
      <c r="R72" s="106">
        <f>Q$72*(1+R$206)*(1+AVERAGE(Popn!R$197,Popn!R$202))</f>
        <v>10.696332774277073</v>
      </c>
      <c r="S72" s="106">
        <f>R$72*(1+S$206)*(1+AVERAGE(Popn!S$197,Popn!S$202))</f>
        <v>10.968363640138778</v>
      </c>
      <c r="T72" s="106">
        <f>S$72*(1+T$206)*(1+AVERAGE(Popn!T$197,Popn!T$202))</f>
        <v>11.242868166679397</v>
      </c>
    </row>
    <row r="73" spans="1:20" ht="12.75">
      <c r="A73" s="46" t="s">
        <v>479</v>
      </c>
      <c r="B73" s="335"/>
      <c r="C73" s="94"/>
      <c r="D73" s="96">
        <f>Data!C$37</f>
        <v>16.768</v>
      </c>
      <c r="E73" s="96">
        <f>Data!D$37</f>
        <v>17.877</v>
      </c>
      <c r="F73" s="175">
        <f ca="1">Data!E$37+IF($F$1="Yes",SUM((Data!E$37-SUM(Data!E$135,Data!E$137))*(OFFSET(ReadyReckoner!$A$45,0,F$247)-1),Data!E$135*(OFFSET(ReadyReckoner!$A$50,0,F$247)-1),Data!E$137*(OFFSET(ReadyReckoner!$A$45,0,F$247)*OFFSET(ReadyReckoner!$A$51,0,F$247)-1)),0)+IF($I$1="Yes",SUM(F$253:F$254),0)</f>
        <v>19.475</v>
      </c>
      <c r="G73" s="175">
        <f ca="1">Data!F$37+IF($F$1="Yes",SUM((Data!F$37-SUM(Data!F$135,Data!F$137))*(OFFSET(ReadyReckoner!$A$45,0,G$247)-1),Data!F$135*(OFFSET(ReadyReckoner!$A$50,0,G$247)-1),Data!F$137*(OFFSET(ReadyReckoner!$A$45,0,G$247)*OFFSET(ReadyReckoner!$A$51,0,G$247)-1)),0)+IF($I$1="Yes",SUM(G$253:G$254),0)</f>
        <v>21.139</v>
      </c>
      <c r="H73" s="175">
        <f ca="1">Data!G$37+IF($F$1="Yes",SUM((Data!G$37-SUM(Data!G$135,Data!G$137))*(OFFSET(ReadyReckoner!$A$45,0,H$247)-1),Data!G$135*(OFFSET(ReadyReckoner!$A$50,0,H$247)-1),Data!G$137*(OFFSET(ReadyReckoner!$A$45,0,H$247)*OFFSET(ReadyReckoner!$A$51,0,H$247)-1)),0)+IF($I$1="Yes",SUM(H$253:H$254),0)</f>
        <v>22.114</v>
      </c>
      <c r="I73" s="175">
        <f ca="1">Data!H$37+IF($F$1="Yes",SUM((Data!H$37-SUM(Data!H$135,Data!H$137))*(OFFSET(ReadyReckoner!$A$45,0,I$247)-1),Data!H$135*(OFFSET(ReadyReckoner!$A$50,0,I$247)-1),Data!H$137*(OFFSET(ReadyReckoner!$A$45,0,I$247)*OFFSET(ReadyReckoner!$A$51,0,I$247)-1)),0)+IF($I$1="Yes",SUM(I$253:I$254),0)</f>
        <v>22.925</v>
      </c>
      <c r="J73" s="175">
        <f ca="1">Data!I$37+IF($F$1="Yes",SUM((Data!I$37-SUM(Data!I$135,Data!I$137))*(OFFSET(ReadyReckoner!$A$45,0,J$247)-1),Data!I$135*(OFFSET(ReadyReckoner!$A$50,0,J$247)-1),Data!I$137*(OFFSET(ReadyReckoner!$A$45,0,J$247)*OFFSET(ReadyReckoner!$A$51,0,J$247)-1)),0)+IF($I$1="Yes",SUM(J$253:J$254),0)</f>
        <v>23.572</v>
      </c>
      <c r="K73" s="100">
        <f aca="true" t="shared" si="40" ref="K73:T73">SUM(K$69:K$72)</f>
        <v>24.367655477764774</v>
      </c>
      <c r="L73" s="100">
        <f t="shared" si="40"/>
        <v>25.374028329990438</v>
      </c>
      <c r="M73" s="100">
        <f t="shared" si="40"/>
        <v>26.467926108830227</v>
      </c>
      <c r="N73" s="100">
        <f t="shared" si="40"/>
        <v>27.59705485045941</v>
      </c>
      <c r="O73" s="100">
        <f t="shared" si="40"/>
        <v>28.770080507317864</v>
      </c>
      <c r="P73" s="100">
        <f t="shared" si="40"/>
        <v>30.006764084997464</v>
      </c>
      <c r="Q73" s="100">
        <f t="shared" si="40"/>
        <v>31.291094766085592</v>
      </c>
      <c r="R73" s="100">
        <f t="shared" si="40"/>
        <v>32.65354892431751</v>
      </c>
      <c r="S73" s="100">
        <f t="shared" si="40"/>
        <v>34.09049245525265</v>
      </c>
      <c r="T73" s="100">
        <f t="shared" si="40"/>
        <v>35.57949498168077</v>
      </c>
    </row>
    <row r="74" spans="1:20" ht="12.75">
      <c r="A74" s="226" t="s">
        <v>682</v>
      </c>
      <c r="B74" s="134"/>
      <c r="C74" s="94"/>
      <c r="D74" s="94">
        <f aca="true" t="shared" si="41" ref="D74:J74">D$75-D$73</f>
        <v>3.061</v>
      </c>
      <c r="E74" s="94">
        <f t="shared" si="41"/>
        <v>3.6320000000000014</v>
      </c>
      <c r="F74" s="141">
        <f t="shared" si="41"/>
        <v>3.9339999999999975</v>
      </c>
      <c r="G74" s="141">
        <f t="shared" si="41"/>
        <v>3.934000000000001</v>
      </c>
      <c r="H74" s="141">
        <f t="shared" si="41"/>
        <v>4.294999999999998</v>
      </c>
      <c r="I74" s="141">
        <f t="shared" si="41"/>
        <v>4.6789999999999985</v>
      </c>
      <c r="J74" s="141">
        <f t="shared" si="41"/>
        <v>5.035</v>
      </c>
      <c r="K74" s="98">
        <f aca="true" t="shared" si="42" ref="K74:T74">J$74*(1+K$206)*(1+K$218)*(K$81/J$81)</f>
        <v>5.2296011643023</v>
      </c>
      <c r="L74" s="98">
        <f t="shared" si="42"/>
        <v>5.435521073249297</v>
      </c>
      <c r="M74" s="98">
        <f t="shared" si="42"/>
        <v>5.646784248861215</v>
      </c>
      <c r="N74" s="98">
        <f t="shared" si="42"/>
        <v>5.865777671434436</v>
      </c>
      <c r="O74" s="98">
        <f t="shared" si="42"/>
        <v>6.090777585551483</v>
      </c>
      <c r="P74" s="98">
        <f t="shared" si="42"/>
        <v>6.326352766148998</v>
      </c>
      <c r="Q74" s="98">
        <f t="shared" si="42"/>
        <v>6.576585021656618</v>
      </c>
      <c r="R74" s="98">
        <f t="shared" si="42"/>
        <v>6.834696985385665</v>
      </c>
      <c r="S74" s="98">
        <f t="shared" si="42"/>
        <v>7.107947889355593</v>
      </c>
      <c r="T74" s="98">
        <f t="shared" si="42"/>
        <v>7.4056064213536015</v>
      </c>
    </row>
    <row r="75" spans="1:20" ht="12.75">
      <c r="A75" s="46" t="s">
        <v>455</v>
      </c>
      <c r="B75" s="335"/>
      <c r="C75" s="94"/>
      <c r="D75" s="96">
        <f>Data!C$19</f>
        <v>19.829</v>
      </c>
      <c r="E75" s="96">
        <f>Data!D$19</f>
        <v>21.509</v>
      </c>
      <c r="F75" s="175">
        <f ca="1">Data!E$19+IF($F$1="Yes",SUM((Data!E$37-SUM(Data!E$135,Data!E$137))*(OFFSET(ReadyReckoner!$A$45,0,F$247)-1),Data!E$135*(OFFSET(ReadyReckoner!$A$50,0,F$247)-1),Data!E$137*(OFFSET(ReadyReckoner!$A$45,0,F$247)*OFFSET(ReadyReckoner!$A$51,0,F$247)-1)),0)+IF($I$1="Yes",SUM(F$253:F$254),0)</f>
        <v>23.409</v>
      </c>
      <c r="G75" s="175">
        <f ca="1">Data!F$19+IF($F$1="Yes",SUM((Data!F$37-SUM(Data!F$135,Data!F$137))*(OFFSET(ReadyReckoner!$A$45,0,G$247)-1),Data!F$135*(OFFSET(ReadyReckoner!$A$50,0,G$247)-1),Data!F$137*(OFFSET(ReadyReckoner!$A$45,0,G$247)*OFFSET(ReadyReckoner!$A$51,0,G$247)-1)),0)+IF($I$1="Yes",SUM(G$253:G$254),0)</f>
        <v>25.073</v>
      </c>
      <c r="H75" s="175">
        <f ca="1">Data!G$19+IF($F$1="Yes",SUM((Data!G$37-SUM(Data!G$135,Data!G$137))*(OFFSET(ReadyReckoner!$A$45,0,H$247)-1),Data!G$135*(OFFSET(ReadyReckoner!$A$50,0,H$247)-1),Data!G$137*(OFFSET(ReadyReckoner!$A$45,0,H$247)*OFFSET(ReadyReckoner!$A$51,0,H$247)-1)),0)+IF($I$1="Yes",SUM(H$253:H$254),0)</f>
        <v>26.409</v>
      </c>
      <c r="I75" s="175">
        <f ca="1">Data!H$19+IF($F$1="Yes",SUM((Data!H$37-SUM(Data!H$135,Data!H$137))*(OFFSET(ReadyReckoner!$A$45,0,I$247)-1),Data!H$135*(OFFSET(ReadyReckoner!$A$50,0,I$247)-1),Data!H$137*(OFFSET(ReadyReckoner!$A$45,0,I$247)*OFFSET(ReadyReckoner!$A$51,0,I$247)-1)),0)+IF($I$1="Yes",SUM(I$253:I$254),0)</f>
        <v>27.604</v>
      </c>
      <c r="J75" s="175">
        <f ca="1">Data!I$19+IF($F$1="Yes",SUM((Data!I$37-SUM(Data!I$135,Data!I$137))*(OFFSET(ReadyReckoner!$A$45,0,J$247)-1),Data!I$135*(OFFSET(ReadyReckoner!$A$50,0,J$247)-1),Data!I$137*(OFFSET(ReadyReckoner!$A$45,0,J$247)*OFFSET(ReadyReckoner!$A$51,0,J$247)-1)),0)+IF($I$1="Yes",SUM(J$253:J$254),0)</f>
        <v>28.607</v>
      </c>
      <c r="K75" s="100">
        <f>SUM(K$73,K$74)</f>
        <v>29.597256642067073</v>
      </c>
      <c r="L75" s="100">
        <f aca="true" t="shared" si="43" ref="L75:T75">SUM(L$73,L$74)</f>
        <v>30.809549403239735</v>
      </c>
      <c r="M75" s="100">
        <f t="shared" si="43"/>
        <v>32.11471035769144</v>
      </c>
      <c r="N75" s="100">
        <f t="shared" si="43"/>
        <v>33.462832521893844</v>
      </c>
      <c r="O75" s="100">
        <f t="shared" si="43"/>
        <v>34.86085809286935</v>
      </c>
      <c r="P75" s="100">
        <f t="shared" si="43"/>
        <v>36.333116851146464</v>
      </c>
      <c r="Q75" s="100">
        <f t="shared" si="43"/>
        <v>37.86767978774221</v>
      </c>
      <c r="R75" s="100">
        <f t="shared" si="43"/>
        <v>39.488245909703174</v>
      </c>
      <c r="S75" s="100">
        <f t="shared" si="43"/>
        <v>41.198440344608244</v>
      </c>
      <c r="T75" s="100">
        <f t="shared" si="43"/>
        <v>42.98510140303437</v>
      </c>
    </row>
    <row r="76" spans="1:20" ht="12.75">
      <c r="A76" s="145" t="s">
        <v>686</v>
      </c>
      <c r="C76" s="94"/>
      <c r="D76" s="94"/>
      <c r="E76" s="94"/>
      <c r="F76" s="94"/>
      <c r="G76" s="94"/>
      <c r="H76" s="94"/>
      <c r="I76" s="94"/>
      <c r="J76" s="94"/>
      <c r="T76" s="98"/>
    </row>
    <row r="77" spans="1:20" ht="12.75">
      <c r="A77" s="323" t="s">
        <v>805</v>
      </c>
      <c r="B77" s="335"/>
      <c r="C77" s="94"/>
      <c r="D77" s="245">
        <f>Data!C$207</f>
        <v>832.54</v>
      </c>
      <c r="E77" s="245">
        <f>Data!D$207</f>
        <v>861.55</v>
      </c>
      <c r="F77" s="471">
        <f ca="1">IF(OR($F$1="Yes",$O$1="Yes"),OFFSET(ReadyReckoner!$A$34,0,F$247),Data!E$207)</f>
        <v>905.74</v>
      </c>
      <c r="G77" s="471">
        <f ca="1">IF(OR($F$1="Yes",$O$1="Yes"),OFFSET(ReadyReckoner!$A$34,0,G$247),Data!F$207)</f>
        <v>927.37</v>
      </c>
      <c r="H77" s="471">
        <f ca="1">IF(OR($F$1="Yes",$O$1="Yes"),OFFSET(ReadyReckoner!$A$34,0,H$247),Data!G$207)</f>
        <v>948.49</v>
      </c>
      <c r="I77" s="471">
        <f ca="1">IF(OR($F$1="Yes",$O$1="Yes"),OFFSET(ReadyReckoner!$A$34,0,I$247),Data!H$207)</f>
        <v>958.62</v>
      </c>
      <c r="J77" s="471">
        <f ca="1">IF(OR($F$1="Yes",$O$1="Yes"),OFFSET(ReadyReckoner!$A$34,0,J$247),Data!I$207)</f>
        <v>970.65</v>
      </c>
      <c r="K77" s="239">
        <f aca="true" t="shared" si="44" ref="K77:T77">J$77*(1+K$218)*(1+K$206)</f>
        <v>1003.9799122521532</v>
      </c>
      <c r="L77" s="239">
        <f t="shared" si="44"/>
        <v>1039.4204031546542</v>
      </c>
      <c r="M77" s="239">
        <f t="shared" si="44"/>
        <v>1076.1119433860133</v>
      </c>
      <c r="N77" s="239">
        <f t="shared" si="44"/>
        <v>1114.0986949875396</v>
      </c>
      <c r="O77" s="239">
        <f t="shared" si="44"/>
        <v>1153.4263789205997</v>
      </c>
      <c r="P77" s="239">
        <f t="shared" si="44"/>
        <v>1194.1423300964966</v>
      </c>
      <c r="Q77" s="239">
        <f t="shared" si="44"/>
        <v>1236.295554348903</v>
      </c>
      <c r="R77" s="239">
        <f t="shared" si="44"/>
        <v>1279.936787417419</v>
      </c>
      <c r="S77" s="239">
        <f t="shared" si="44"/>
        <v>1325.1185560132537</v>
      </c>
      <c r="T77" s="239">
        <f t="shared" si="44"/>
        <v>1371.8952410405213</v>
      </c>
    </row>
    <row r="78" spans="1:20" ht="12.75">
      <c r="A78" s="323" t="s">
        <v>807</v>
      </c>
      <c r="B78" s="335"/>
      <c r="C78" s="94"/>
      <c r="D78" s="245">
        <f>Data!C$194</f>
        <v>645.82</v>
      </c>
      <c r="E78" s="245">
        <f>Data!D$194</f>
        <v>664.02</v>
      </c>
      <c r="F78" s="471">
        <f ca="1">IF(OR($F$1="Yes",$O$1="Yes"),OFFSET(ReadyReckoner!$A$37,0,F$247),Data!E$194)</f>
        <v>723.19</v>
      </c>
      <c r="G78" s="471">
        <f ca="1">IF(OR($F$1="Yes",$O$1="Yes"),OFFSET(ReadyReckoner!$A$37,0,G$247),Data!F$194)</f>
        <v>739.35</v>
      </c>
      <c r="H78" s="471">
        <f ca="1">IF(OR($F$1="Yes",$O$1="Yes"),OFFSET(ReadyReckoner!$A$37,0,H$247),Data!G$194)</f>
        <v>753.19</v>
      </c>
      <c r="I78" s="471">
        <f ca="1">IF(OR($F$1="Yes",$O$1="Yes"),OFFSET(ReadyReckoner!$A$37,0,I$247),Data!H$194)</f>
        <v>759.85</v>
      </c>
      <c r="J78" s="471">
        <f ca="1">IF(OR($F$1="Yes",$O$1="Yes"),OFFSET(ReadyReckoner!$A$37,0,J$247),Data!I$194)</f>
        <v>767.71</v>
      </c>
      <c r="K78" s="239">
        <f ca="1">K$77-(J$77-J$78)*(1+IF(AND(OFFSET(Scenarios!$A$21,0,$C$1)="YES",MID(OFFSET(Scenarios!$A$23,0,$C$1),6,2)&gt;=MID(K$3,4,2)),IF(OFFSET(Scenarios!$A$26,0,$C$1)="Inflation",1,OFFSET(Scenarios!$A$22,0,$C$1)),1)*K$218)*(1+IF(AND(OFFSET(Scenarios!$A$21,0,$C$1)="YES",MID(OFFSET(Scenarios!$A$23,0,$C$1),6,2)&gt;=MID(K$3,4,2)),IF(OFFSET(Scenarios!$A$26,0,$C$1)="Wage",1,OFFSET(Scenarios!$A$22,0,$C$1)),1)*K$206)</f>
        <v>791.6050370955552</v>
      </c>
      <c r="L78" s="239">
        <f ca="1">L$77-(K$77-K$78)*(1+IF(AND(OFFSET(Scenarios!$A$21,0,$C$1)="YES",MID(OFFSET(Scenarios!$A$23,0,$C$1),6,2)&gt;=MID(L$3,4,2)),IF(OFFSET(Scenarios!$A$26,0,$C$1)="Inflation",1,OFFSET(Scenarios!$A$22,0,$C$1)),1)*L$218)*(1+IF(AND(OFFSET(Scenarios!$A$21,0,$C$1)="YES",MID(OFFSET(Scenarios!$A$23,0,$C$1),6,2)&gt;=MID(L$3,4,2)),IF(OFFSET(Scenarios!$A$26,0,$C$1)="Wage",1,OFFSET(Scenarios!$A$22,0,$C$1)),1)*L$206)</f>
        <v>816.894699183915</v>
      </c>
      <c r="M78" s="239">
        <f ca="1">M$77-(L$77-L$78)*(1+IF(AND(OFFSET(Scenarios!$A$21,0,$C$1)="YES",MID(OFFSET(Scenarios!$A$23,0,$C$1),6,2)&gt;=MID(M$3,4,2)),IF(OFFSET(Scenarios!$A$26,0,$C$1)="Inflation",1,OFFSET(Scenarios!$A$22,0,$C$1)),1)*M$218)*(1+IF(AND(OFFSET(Scenarios!$A$21,0,$C$1)="YES",MID(OFFSET(Scenarios!$A$23,0,$C$1),6,2)&gt;=MID(M$3,4,2)),IF(OFFSET(Scenarios!$A$26,0,$C$1)="Wage",1,OFFSET(Scenarios!$A$22,0,$C$1)),1)*M$206)</f>
        <v>842.9502339740106</v>
      </c>
      <c r="N78" s="239">
        <f ca="1">N$77-(M$77-M$78)*(1+IF(AND(OFFSET(Scenarios!$A$21,0,$C$1)="YES",MID(OFFSET(Scenarios!$A$23,0,$C$1),6,2)&gt;=MID(N$3,4,2)),IF(OFFSET(Scenarios!$A$26,0,$C$1)="Inflation",1,OFFSET(Scenarios!$A$22,0,$C$1)),1)*N$218)*(1+IF(AND(OFFSET(Scenarios!$A$21,0,$C$1)="YES",MID(OFFSET(Scenarios!$A$23,0,$C$1),6,2)&gt;=MID(N$3,4,2)),IF(OFFSET(Scenarios!$A$26,0,$C$1)="Wage",1,OFFSET(Scenarios!$A$22,0,$C$1)),1)*N$206)</f>
        <v>869.7926136411988</v>
      </c>
      <c r="O78" s="239">
        <f ca="1">O$77-(N$77-N$78)*(1+IF(AND(OFFSET(Scenarios!$A$21,0,$C$1)="YES",MID(OFFSET(Scenarios!$A$23,0,$C$1),6,2)&gt;=MID(O$3,4,2)),IF(OFFSET(Scenarios!$A$26,0,$C$1)="Inflation",1,OFFSET(Scenarios!$A$22,0,$C$1)),1)*O$218)*(1+IF(AND(OFFSET(Scenarios!$A$21,0,$C$1)="YES",MID(OFFSET(Scenarios!$A$23,0,$C$1),6,2)&gt;=MID(O$3,4,2)),IF(OFFSET(Scenarios!$A$26,0,$C$1)="Wage",1,OFFSET(Scenarios!$A$22,0,$C$1)),1)*O$206)</f>
        <v>897.4432608806683</v>
      </c>
      <c r="P78" s="239">
        <f ca="1">P$77-(O$77-O$78)*(1+IF(AND(OFFSET(Scenarios!$A$21,0,$C$1)="YES",MID(OFFSET(Scenarios!$A$23,0,$C$1),6,2)&gt;=MID(P$3,4,2)),IF(OFFSET(Scenarios!$A$26,0,$C$1)="Inflation",1,OFFSET(Scenarios!$A$22,0,$C$1)),1)*P$218)*(1+IF(AND(OFFSET(Scenarios!$A$21,0,$C$1)="YES",MID(OFFSET(Scenarios!$A$23,0,$C$1),6,2)&gt;=MID(P$3,4,2)),IF(OFFSET(Scenarios!$A$26,0,$C$1)="Wage",1,OFFSET(Scenarios!$A$22,0,$C$1)),1)*P$206)</f>
        <v>925.9240509593901</v>
      </c>
      <c r="Q78" s="239">
        <f ca="1">Q$77-(P$77-P$78)*(1+IF(AND(OFFSET(Scenarios!$A$21,0,$C$1)="YES",MID(OFFSET(Scenarios!$A$23,0,$C$1),6,2)&gt;=MID(Q$3,4,2)),IF(OFFSET(Scenarios!$A$26,0,$C$1)="Inflation",1,OFFSET(Scenarios!$A$22,0,$C$1)),1)*Q$218)*(1+IF(AND(OFFSET(Scenarios!$A$21,0,$C$1)="YES",MID(OFFSET(Scenarios!$A$23,0,$C$1),6,2)&gt;=MID(Q$3,4,2)),IF(OFFSET(Scenarios!$A$26,0,$C$1)="Wage",1,OFFSET(Scenarios!$A$22,0,$C$1)),1)*Q$206)</f>
        <v>955.25731317845</v>
      </c>
      <c r="R78" s="239">
        <f ca="1">R$77-(Q$77-Q$78)*(1+IF(AND(OFFSET(Scenarios!$A$21,0,$C$1)="YES",MID(OFFSET(Scenarios!$A$23,0,$C$1),6,2)&gt;=MID(R$3,4,2)),IF(OFFSET(Scenarios!$A$26,0,$C$1)="Inflation",1,OFFSET(Scenarios!$A$22,0,$C$1)),1)*R$218)*(1+IF(AND(OFFSET(Scenarios!$A$21,0,$C$1)="YES",MID(OFFSET(Scenarios!$A$23,0,$C$1),6,2)&gt;=MID(R$3,4,2)),IF(OFFSET(Scenarios!$A$26,0,$C$1)="Wage",1,OFFSET(Scenarios!$A$22,0,$C$1)),1)*R$206)</f>
        <v>985.4658316933023</v>
      </c>
      <c r="S78" s="239">
        <f ca="1">S$77-(R$77-R$78)*(1+IF(AND(OFFSET(Scenarios!$A$21,0,$C$1)="YES",MID(OFFSET(Scenarios!$A$23,0,$C$1),6,2)&gt;=MID(S$3,4,2)),IF(OFFSET(Scenarios!$A$26,0,$C$1)="Inflation",1,OFFSET(Scenarios!$A$22,0,$C$1)),1)*S$218)*(1+IF(AND(OFFSET(Scenarios!$A$21,0,$C$1)="YES",MID(OFFSET(Scenarios!$A$23,0,$C$1),6,2)&gt;=MID(S$3,4,2)),IF(OFFSET(Scenarios!$A$26,0,$C$1)="Wage",1,OFFSET(Scenarios!$A$22,0,$C$1)),1)*S$206)</f>
        <v>1016.5728456361303</v>
      </c>
      <c r="T78" s="239">
        <f ca="1">T$77-(S$77-S$78)*(1+IF(AND(OFFSET(Scenarios!$A$21,0,$C$1)="YES",MID(OFFSET(Scenarios!$A$23,0,$C$1),6,2)&gt;=MID(T$3,4,2)),IF(OFFSET(Scenarios!$A$26,0,$C$1)="Inflation",1,OFFSET(Scenarios!$A$22,0,$C$1)),1)*T$218)*(1+IF(AND(OFFSET(Scenarios!$A$21,0,$C$1)="YES",MID(OFFSET(Scenarios!$A$23,0,$C$1),6,2)&gt;=MID(T$3,4,2)),IF(OFFSET(Scenarios!$A$26,0,$C$1)="Wage",1,OFFSET(Scenarios!$A$22,0,$C$1)),1)*T$206)</f>
        <v>1048.60204848093</v>
      </c>
    </row>
    <row r="79" spans="1:20" ht="12.75">
      <c r="A79" s="323" t="s">
        <v>808</v>
      </c>
      <c r="B79" s="335"/>
      <c r="C79" s="94"/>
      <c r="D79" s="245">
        <f>Data!C$195</f>
        <v>213.12</v>
      </c>
      <c r="E79" s="245">
        <f>Data!D$195</f>
        <v>219.9</v>
      </c>
      <c r="F79" s="471">
        <f ca="1">IF(OR($F$1="Yes",$O$1="Yes"),OFFSET(ReadyReckoner!$A$38,0,F$247),Data!E$195)</f>
        <v>239.19</v>
      </c>
      <c r="G79" s="471">
        <f ca="1">IF(OR($F$1="Yes",$O$1="Yes"),OFFSET(ReadyReckoner!$A$38,0,G$247),Data!F$195)</f>
        <v>243.99</v>
      </c>
      <c r="H79" s="471">
        <f ca="1">IF(OR($F$1="Yes",$O$1="Yes"),OFFSET(ReadyReckoner!$A$38,0,H$247),Data!G$195)</f>
        <v>249.11</v>
      </c>
      <c r="I79" s="471">
        <f ca="1">IF(OR($F$1="Yes",$O$1="Yes"),OFFSET(ReadyReckoner!$A$38,0,I$247),Data!H$195)</f>
        <v>252.1</v>
      </c>
      <c r="J79" s="471">
        <f ca="1">IF(OR($F$1="Yes",$O$1="Yes"),OFFSET(ReadyReckoner!$A$38,0,J$247),Data!I$195)</f>
        <v>255.63</v>
      </c>
      <c r="K79" s="239">
        <f ca="1">IF(OFFSET(Scenarios!$A$37,0,$C$1)="Yes",IF(2*J$79*(1+K$206)/K$78&gt;OFFSET(Scenarios!$A$38,0,$C$1),J$79*(1+K$206),K$78*OFFSET(Scenarios!$A$38,0,$C$1)/2),J$79*(1+K$206))</f>
        <v>261.2296622415332</v>
      </c>
      <c r="L79" s="239">
        <f ca="1">IF(OFFSET(Scenarios!$A$37,0,$C$1)="Yes",IF(2*K$79*(1+L$206)/L$78&gt;OFFSET(Scenarios!$A$38,0,$C$1),K$79*(1+L$206),L$78*OFFSET(Scenarios!$A$38,0,$C$1)/2),K$79*(1+L$206))</f>
        <v>269.57525073069195</v>
      </c>
      <c r="M79" s="239">
        <f ca="1">IF(OFFSET(Scenarios!$A$37,0,$C$1)="Yes",IF(2*L$79*(1+M$206)/M$78&gt;OFFSET(Scenarios!$A$38,0,$C$1),L$79*(1+M$206),M$78*OFFSET(Scenarios!$A$38,0,$C$1)/2),L$79*(1+M$206))</f>
        <v>278.17357721142355</v>
      </c>
      <c r="N79" s="239">
        <f ca="1">IF(OFFSET(Scenarios!$A$37,0,$C$1)="Yes",IF(2*M$79*(1+N$206)/N$78&gt;OFFSET(Scenarios!$A$38,0,$C$1),M$79*(1+N$206),N$78*OFFSET(Scenarios!$A$38,0,$C$1)/2),M$79*(1+N$206))</f>
        <v>287.03156250159566</v>
      </c>
      <c r="O79" s="239">
        <f ca="1">IF(OFFSET(Scenarios!$A$37,0,$C$1)="Yes",IF(2*N$79*(1+O$206)/O$78&gt;OFFSET(Scenarios!$A$38,0,$C$1),N$79*(1+O$206),O$78*OFFSET(Scenarios!$A$38,0,$C$1)/2),N$79*(1+O$206))</f>
        <v>296.15627609062057</v>
      </c>
      <c r="P79" s="239">
        <f ca="1">IF(OFFSET(Scenarios!$A$37,0,$C$1)="Yes",IF(2*O$79*(1+P$206)/P$78&gt;OFFSET(Scenarios!$A$38,0,$C$1),O$79*(1+P$206),P$78*OFFSET(Scenarios!$A$38,0,$C$1)/2),O$79*(1+P$206))</f>
        <v>305.55493681659874</v>
      </c>
      <c r="Q79" s="239">
        <f ca="1">IF(OFFSET(Scenarios!$A$37,0,$C$1)="Yes",IF(2*P$79*(1+Q$206)/Q$78&gt;OFFSET(Scenarios!$A$38,0,$C$1),P$79*(1+Q$206),Q$78*OFFSET(Scenarios!$A$38,0,$C$1)/2),P$79*(1+Q$206))</f>
        <v>315.2349133488885</v>
      </c>
      <c r="R79" s="239">
        <f ca="1">IF(OFFSET(Scenarios!$A$37,0,$C$1)="Yes",IF(2*Q$79*(1+R$206)/R$78&gt;OFFSET(Scenarios!$A$38,0,$C$1),Q$79*(1+R$206),R$78*OFFSET(Scenarios!$A$38,0,$C$1)/2),Q$79*(1+R$206))</f>
        <v>325.2037244587898</v>
      </c>
      <c r="S79" s="239">
        <f ca="1">IF(OFFSET(Scenarios!$A$37,0,$C$1)="Yes",IF(2*R$79*(1+S$206)/S$78&gt;OFFSET(Scenarios!$A$38,0,$C$1),R$79*(1+S$206),S$78*OFFSET(Scenarios!$A$38,0,$C$1)/2),R$79*(1+S$206))</f>
        <v>335.46903905992303</v>
      </c>
      <c r="T79" s="239">
        <f ca="1">IF(OFFSET(Scenarios!$A$37,0,$C$1)="Yes",IF(2*S$79*(1+T$206)/T$78&gt;OFFSET(Scenarios!$A$38,0,$C$1),S$79*(1+T$206),T$78*OFFSET(Scenarios!$A$38,0,$C$1)/2),S$79*(1+T$206))</f>
        <v>346.03867599870694</v>
      </c>
    </row>
    <row r="80" spans="1:20" ht="12.75">
      <c r="A80" s="323" t="s">
        <v>212</v>
      </c>
      <c r="B80" s="335"/>
      <c r="C80" s="94"/>
      <c r="D80" s="94">
        <f>Data!C$196</f>
        <v>1.268</v>
      </c>
      <c r="E80" s="94">
        <f>Data!D$196</f>
        <v>1.382</v>
      </c>
      <c r="F80" s="169">
        <f ca="1">Data!E$196+IF($I$1="Yes",OFFSET(ReadyReckoner!$A$13,0,F$247)/1000,0)</f>
        <v>1.289</v>
      </c>
      <c r="G80" s="169">
        <f ca="1">Data!F$196+IF($I$1="Yes",OFFSET(ReadyReckoner!$A$13,0,G$247)/1000,0)</f>
        <v>1.325</v>
      </c>
      <c r="H80" s="169">
        <f ca="1">Data!G$196+IF($I$1="Yes",OFFSET(ReadyReckoner!$A$13,0,H$247)/1000,0)</f>
        <v>1.405</v>
      </c>
      <c r="I80" s="169">
        <f ca="1">Data!H$196+IF($I$1="Yes",OFFSET(ReadyReckoner!$A$13,0,I$247)/1000,0)</f>
        <v>1.501</v>
      </c>
      <c r="J80" s="169">
        <f ca="1">Data!I$196+IF($I$1="Yes",OFFSET(ReadyReckoner!$A$13,0,J$247)/1000,0)</f>
        <v>1.587</v>
      </c>
      <c r="K80" s="98">
        <f aca="true" t="shared" si="45" ref="K80:T80">J$80*K$69/J$69</f>
        <v>1.6785819675472207</v>
      </c>
      <c r="L80" s="98">
        <f t="shared" si="45"/>
        <v>1.7922155628892544</v>
      </c>
      <c r="M80" s="98">
        <f t="shared" si="45"/>
        <v>1.9091471224406182</v>
      </c>
      <c r="N80" s="98">
        <f t="shared" si="45"/>
        <v>2.0322865836862327</v>
      </c>
      <c r="O80" s="98">
        <f t="shared" si="45"/>
        <v>2.161307663472597</v>
      </c>
      <c r="P80" s="98">
        <f t="shared" si="45"/>
        <v>2.2997711588520997</v>
      </c>
      <c r="Q80" s="98">
        <f t="shared" si="45"/>
        <v>2.4468159527876407</v>
      </c>
      <c r="R80" s="98">
        <f t="shared" si="45"/>
        <v>2.6052850957495197</v>
      </c>
      <c r="S80" s="98">
        <f t="shared" si="45"/>
        <v>2.7730165567438627</v>
      </c>
      <c r="T80" s="98">
        <f t="shared" si="45"/>
        <v>2.9485733154282667</v>
      </c>
    </row>
    <row r="81" spans="1:20" ht="12.75">
      <c r="A81" s="145" t="s">
        <v>737</v>
      </c>
      <c r="B81" s="57"/>
      <c r="C81" s="94"/>
      <c r="D81" s="94">
        <f>SUM(SUM(Popn!D$9:D$13)*Tracks!$C$34,SUM(Popn!D$103:D$107)*Tracks!$B$34,SUM(Popn!D$14:D$18)*Tracks!$C$35,SUM(Popn!D$108:D$112)*Tracks!$B$35,SUM(Popn!D$19:D$23)*Tracks!$C$36,SUM(Popn!D$113:D$117)*Tracks!$B$36,SUM(Popn!D$24:D$28)*Tracks!$C$37,SUM(Popn!D$118:D$122)*Tracks!$B$37,SUM(Popn!D$29:D$38)*Tracks!$C$38,SUM(Popn!D$123:D$132)*Tracks!$B$38,SUM(Popn!D$39:D$48)*Tracks!$C$39,SUM(Popn!D$133:D$142)*Tracks!$B$39,SUM(Popn!D$49:D$58)*Tracks!$C$40,SUM(Popn!D$143:D$152)*Tracks!$B$40,SUM(Popn!D$59:D$68)*Tracks!$C$41,SUM(Popn!D$153:D$162)*Tracks!$B$41,SUM(Popn!D$69:D$73)*Tracks!$C$42,SUM(Popn!D$163:D$167)*Tracks!$B$42,SUM(Popn!D$74:D$99)*Tracks!$C$43,SUM(Popn!D$168:D$193)*Tracks!$B$43)/1000000000</f>
        <v>5.54170972</v>
      </c>
      <c r="E81" s="94">
        <f>SUM(SUM(Popn!E$9:E$13)*Tracks!$C$34,SUM(Popn!E$103:E$107)*Tracks!$B$34,SUM(Popn!E$14:E$18)*Tracks!$C$35,SUM(Popn!E$108:E$112)*Tracks!$B$35,SUM(Popn!E$19:E$23)*Tracks!$C$36,SUM(Popn!E$113:E$117)*Tracks!$B$36,SUM(Popn!E$24:E$28)*Tracks!$C$37,SUM(Popn!E$118:E$122)*Tracks!$B$37,SUM(Popn!E$29:E$38)*Tracks!$C$38,SUM(Popn!E$123:E$132)*Tracks!$B$38,SUM(Popn!E$39:E$48)*Tracks!$C$39,SUM(Popn!E$133:E$142)*Tracks!$B$39,SUM(Popn!E$49:E$58)*Tracks!$C$40,SUM(Popn!E$143:E$152)*Tracks!$B$40,SUM(Popn!E$59:E$68)*Tracks!$C$41,SUM(Popn!E$153:E$162)*Tracks!$B$41,SUM(Popn!E$69:E$73)*Tracks!$C$42,SUM(Popn!E$163:E$167)*Tracks!$B$42,SUM(Popn!E$74:E$99)*Tracks!$C$43,SUM(Popn!E$168:E$193)*Tracks!$B$43)/1000000000</f>
        <v>5.59550944</v>
      </c>
      <c r="F81" s="141">
        <f>SUM(SUM(Popn!F$9:F$13)*Tracks!$C$34,SUM(Popn!F$103:F$107)*Tracks!$B$34,SUM(Popn!F$14:F$18)*Tracks!$C$35,SUM(Popn!F$108:F$112)*Tracks!$B$35,SUM(Popn!F$19:F$23)*Tracks!$C$36,SUM(Popn!F$113:F$117)*Tracks!$B$36,SUM(Popn!F$24:F$28)*Tracks!$C$37,SUM(Popn!F$118:F$122)*Tracks!$B$37,SUM(Popn!F$29:F$38)*Tracks!$C$38,SUM(Popn!F$123:F$132)*Tracks!$B$38,SUM(Popn!F$39:F$48)*Tracks!$C$39,SUM(Popn!F$133:F$142)*Tracks!$B$39,SUM(Popn!F$49:F$58)*Tracks!$C$40,SUM(Popn!F$143:F$152)*Tracks!$B$40,SUM(Popn!F$59:F$68)*Tracks!$C$41,SUM(Popn!F$153:F$162)*Tracks!$B$41,SUM(Popn!F$69:F$73)*Tracks!$C$42,SUM(Popn!F$163:F$167)*Tracks!$B$42,SUM(Popn!F$74:F$99)*Tracks!$C$43,SUM(Popn!F$168:F$193)*Tracks!$B$43)/1000000000</f>
        <v>5.65051001</v>
      </c>
      <c r="G81" s="141">
        <f>SUM(SUM(Popn!G$9:G$13)*Tracks!$C$34,SUM(Popn!G$103:G$107)*Tracks!$B$34,SUM(Popn!G$14:G$18)*Tracks!$C$35,SUM(Popn!G$108:G$112)*Tracks!$B$35,SUM(Popn!G$19:G$23)*Tracks!$C$36,SUM(Popn!G$113:G$117)*Tracks!$B$36,SUM(Popn!G$24:G$28)*Tracks!$C$37,SUM(Popn!G$118:G$122)*Tracks!$B$37,SUM(Popn!G$29:G$38)*Tracks!$C$38,SUM(Popn!G$123:G$132)*Tracks!$B$38,SUM(Popn!G$39:G$48)*Tracks!$C$39,SUM(Popn!G$133:G$142)*Tracks!$B$39,SUM(Popn!G$49:G$58)*Tracks!$C$40,SUM(Popn!G$143:G$152)*Tracks!$B$40,SUM(Popn!G$59:G$68)*Tracks!$C$41,SUM(Popn!G$153:G$162)*Tracks!$B$41,SUM(Popn!G$69:G$73)*Tracks!$C$42,SUM(Popn!G$163:G$167)*Tracks!$B$42,SUM(Popn!G$74:G$99)*Tracks!$C$43,SUM(Popn!G$168:G$193)*Tracks!$B$43)/1000000000</f>
        <v>5.70686524</v>
      </c>
      <c r="H81" s="141">
        <f>SUM(SUM(Popn!H$9:H$13)*Tracks!$C$34,SUM(Popn!H$103:H$107)*Tracks!$B$34,SUM(Popn!H$14:H$18)*Tracks!$C$35,SUM(Popn!H$108:H$112)*Tracks!$B$35,SUM(Popn!H$19:H$23)*Tracks!$C$36,SUM(Popn!H$113:H$117)*Tracks!$B$36,SUM(Popn!H$24:H$28)*Tracks!$C$37,SUM(Popn!H$118:H$122)*Tracks!$B$37,SUM(Popn!H$29:H$38)*Tracks!$C$38,SUM(Popn!H$123:H$132)*Tracks!$B$38,SUM(Popn!H$39:H$48)*Tracks!$C$39,SUM(Popn!H$133:H$142)*Tracks!$B$39,SUM(Popn!H$49:H$58)*Tracks!$C$40,SUM(Popn!H$143:H$152)*Tracks!$B$40,SUM(Popn!H$59:H$68)*Tracks!$C$41,SUM(Popn!H$153:H$162)*Tracks!$B$41,SUM(Popn!H$69:H$73)*Tracks!$C$42,SUM(Popn!H$163:H$167)*Tracks!$B$42,SUM(Popn!H$74:H$99)*Tracks!$C$43,SUM(Popn!H$168:H$193)*Tracks!$B$43)/1000000000</f>
        <v>5.75547157</v>
      </c>
      <c r="I81" s="141">
        <f>SUM(SUM(Popn!I$9:I$13)*Tracks!$C$34,SUM(Popn!I$103:I$107)*Tracks!$B$34,SUM(Popn!I$14:I$18)*Tracks!$C$35,SUM(Popn!I$108:I$112)*Tracks!$B$35,SUM(Popn!I$19:I$23)*Tracks!$C$36,SUM(Popn!I$113:I$117)*Tracks!$B$36,SUM(Popn!I$24:I$28)*Tracks!$C$37,SUM(Popn!I$118:I$122)*Tracks!$B$37,SUM(Popn!I$29:I$38)*Tracks!$C$38,SUM(Popn!I$123:I$132)*Tracks!$B$38,SUM(Popn!I$39:I$48)*Tracks!$C$39,SUM(Popn!I$133:I$142)*Tracks!$B$39,SUM(Popn!I$49:I$58)*Tracks!$C$40,SUM(Popn!I$143:I$152)*Tracks!$B$40,SUM(Popn!I$59:I$68)*Tracks!$C$41,SUM(Popn!I$153:I$162)*Tracks!$B$41,SUM(Popn!I$69:I$73)*Tracks!$C$42,SUM(Popn!I$163:I$167)*Tracks!$B$42,SUM(Popn!I$74:I$99)*Tracks!$C$43,SUM(Popn!I$168:I$193)*Tracks!$B$43)/1000000000</f>
        <v>5.79026669</v>
      </c>
      <c r="J81" s="141">
        <f>SUM(SUM(Popn!J$9:J$13)*Tracks!$C$34,SUM(Popn!J$103:J$107)*Tracks!$B$34,SUM(Popn!J$14:J$18)*Tracks!$C$35,SUM(Popn!J$108:J$112)*Tracks!$B$35,SUM(Popn!J$19:J$23)*Tracks!$C$36,SUM(Popn!J$113:J$117)*Tracks!$B$36,SUM(Popn!J$24:J$28)*Tracks!$C$37,SUM(Popn!J$118:J$122)*Tracks!$B$37,SUM(Popn!J$29:J$38)*Tracks!$C$38,SUM(Popn!J$123:J$132)*Tracks!$B$38,SUM(Popn!J$39:J$48)*Tracks!$C$39,SUM(Popn!J$133:J$142)*Tracks!$B$39,SUM(Popn!J$49:J$58)*Tracks!$C$40,SUM(Popn!J$143:J$152)*Tracks!$B$40,SUM(Popn!J$59:J$68)*Tracks!$C$41,SUM(Popn!J$153:J$162)*Tracks!$B$41,SUM(Popn!J$69:J$73)*Tracks!$C$42,SUM(Popn!J$163:J$167)*Tracks!$B$42,SUM(Popn!J$74:J$99)*Tracks!$C$43,SUM(Popn!J$168:J$193)*Tracks!$B$43)/1000000000</f>
        <v>5.81749043</v>
      </c>
      <c r="K81" s="98">
        <f>SUM(SUM(Popn!K$9:K$13)*Tracks!$C$34,SUM(Popn!K$103:K$107)*Tracks!$B$34,SUM(Popn!K$14:K$18)*Tracks!$C$35,SUM(Popn!K$108:K$112)*Tracks!$B$35,SUM(Popn!K$19:K$23)*Tracks!$C$36,SUM(Popn!K$113:K$117)*Tracks!$B$36,SUM(Popn!K$24:K$28)*Tracks!$C$37,SUM(Popn!K$118:K$122)*Tracks!$B$37,SUM(Popn!K$29:K$38)*Tracks!$C$38,SUM(Popn!K$123:K$132)*Tracks!$B$38,SUM(Popn!K$39:K$48)*Tracks!$C$39,SUM(Popn!K$133:K$142)*Tracks!$B$39,SUM(Popn!K$49:K$58)*Tracks!$C$40,SUM(Popn!K$143:K$152)*Tracks!$B$40,SUM(Popn!K$59:K$68)*Tracks!$C$41,SUM(Popn!K$153:K$162)*Tracks!$B$41,SUM(Popn!K$69:K$73)*Tracks!$C$42,SUM(Popn!K$163:K$167)*Tracks!$B$42,SUM(Popn!K$74:K$99)*Tracks!$C$43,SUM(Popn!K$168:K$193)*Tracks!$B$43)/1000000000</f>
        <v>5.84174246</v>
      </c>
      <c r="L81" s="98">
        <f>SUM(SUM(Popn!L$9:L$13)*Tracks!$C$34,SUM(Popn!L$103:L$107)*Tracks!$B$34,SUM(Popn!L$14:L$18)*Tracks!$C$35,SUM(Popn!L$108:L$112)*Tracks!$B$35,SUM(Popn!L$19:L$23)*Tracks!$C$36,SUM(Popn!L$113:L$117)*Tracks!$B$36,SUM(Popn!L$24:L$28)*Tracks!$C$37,SUM(Popn!L$118:L$122)*Tracks!$B$37,SUM(Popn!L$29:L$38)*Tracks!$C$38,SUM(Popn!L$123:L$132)*Tracks!$B$38,SUM(Popn!L$39:L$48)*Tracks!$C$39,SUM(Popn!L$133:L$142)*Tracks!$B$39,SUM(Popn!L$49:L$58)*Tracks!$C$40,SUM(Popn!L$143:L$152)*Tracks!$B$40,SUM(Popn!L$59:L$68)*Tracks!$C$41,SUM(Popn!L$153:L$162)*Tracks!$B$41,SUM(Popn!L$69:L$73)*Tracks!$C$42,SUM(Popn!L$163:L$167)*Tracks!$B$42,SUM(Popn!L$74:L$99)*Tracks!$C$43,SUM(Popn!L$168:L$193)*Tracks!$B$43)/1000000000</f>
        <v>5.8647406</v>
      </c>
      <c r="M81" s="98">
        <f>SUM(SUM(Popn!M$9:M$13)*Tracks!$C$34,SUM(Popn!M$103:M$107)*Tracks!$B$34,SUM(Popn!M$14:M$18)*Tracks!$C$35,SUM(Popn!M$108:M$112)*Tracks!$B$35,SUM(Popn!M$19:M$23)*Tracks!$C$36,SUM(Popn!M$113:M$117)*Tracks!$B$36,SUM(Popn!M$24:M$28)*Tracks!$C$37,SUM(Popn!M$118:M$122)*Tracks!$B$37,SUM(Popn!M$29:M$38)*Tracks!$C$38,SUM(Popn!M$123:M$132)*Tracks!$B$38,SUM(Popn!M$39:M$48)*Tracks!$C$39,SUM(Popn!M$133:M$142)*Tracks!$B$39,SUM(Popn!M$49:M$58)*Tracks!$C$40,SUM(Popn!M$143:M$152)*Tracks!$B$40,SUM(Popn!M$59:M$68)*Tracks!$C$41,SUM(Popn!M$153:M$162)*Tracks!$B$41,SUM(Popn!M$69:M$73)*Tracks!$C$42,SUM(Popn!M$163:M$167)*Tracks!$B$42,SUM(Popn!M$74:M$99)*Tracks!$C$43,SUM(Popn!M$168:M$193)*Tracks!$B$43)/1000000000</f>
        <v>5.88494766</v>
      </c>
      <c r="N81" s="98">
        <f>SUM(SUM(Popn!N$9:N$13)*Tracks!$C$34,SUM(Popn!N$103:N$107)*Tracks!$B$34,SUM(Popn!N$14:N$18)*Tracks!$C$35,SUM(Popn!N$108:N$112)*Tracks!$B$35,SUM(Popn!N$19:N$23)*Tracks!$C$36,SUM(Popn!N$113:N$117)*Tracks!$B$36,SUM(Popn!N$24:N$28)*Tracks!$C$37,SUM(Popn!N$118:N$122)*Tracks!$B$37,SUM(Popn!N$29:N$38)*Tracks!$C$38,SUM(Popn!N$123:N$132)*Tracks!$B$38,SUM(Popn!N$39:N$48)*Tracks!$C$39,SUM(Popn!N$133:N$142)*Tracks!$B$39,SUM(Popn!N$49:N$58)*Tracks!$C$40,SUM(Popn!N$143:N$152)*Tracks!$B$40,SUM(Popn!N$59:N$68)*Tracks!$C$41,SUM(Popn!N$153:N$162)*Tracks!$B$41,SUM(Popn!N$69:N$73)*Tracks!$C$42,SUM(Popn!N$163:N$167)*Tracks!$B$42,SUM(Popn!N$74:N$99)*Tracks!$C$43,SUM(Popn!N$168:N$193)*Tracks!$B$43)/1000000000</f>
        <v>5.9047402</v>
      </c>
      <c r="O81" s="98">
        <f>SUM(SUM(Popn!O$9:O$13)*Tracks!$C$34,SUM(Popn!O$103:O$107)*Tracks!$B$34,SUM(Popn!O$14:O$18)*Tracks!$C$35,SUM(Popn!O$108:O$112)*Tracks!$B$35,SUM(Popn!O$19:O$23)*Tracks!$C$36,SUM(Popn!O$113:O$117)*Tracks!$B$36,SUM(Popn!O$24:O$28)*Tracks!$C$37,SUM(Popn!O$118:O$122)*Tracks!$B$37,SUM(Popn!O$29:O$38)*Tracks!$C$38,SUM(Popn!O$123:O$132)*Tracks!$B$38,SUM(Popn!O$39:O$48)*Tracks!$C$39,SUM(Popn!O$133:O$142)*Tracks!$B$39,SUM(Popn!O$49:O$58)*Tracks!$C$40,SUM(Popn!O$143:O$152)*Tracks!$B$40,SUM(Popn!O$59:O$68)*Tracks!$C$41,SUM(Popn!O$153:O$162)*Tracks!$B$41,SUM(Popn!O$69:O$73)*Tracks!$C$42,SUM(Popn!O$163:O$167)*Tracks!$B$42,SUM(Popn!O$74:O$99)*Tracks!$C$43,SUM(Popn!O$168:O$193)*Tracks!$B$43)/1000000000</f>
        <v>5.92218163</v>
      </c>
      <c r="P81" s="98">
        <f>SUM(SUM(Popn!P$9:P$13)*Tracks!$C$34,SUM(Popn!P$103:P$107)*Tracks!$B$34,SUM(Popn!P$14:P$18)*Tracks!$C$35,SUM(Popn!P$108:P$112)*Tracks!$B$35,SUM(Popn!P$19:P$23)*Tracks!$C$36,SUM(Popn!P$113:P$117)*Tracks!$B$36,SUM(Popn!P$24:P$28)*Tracks!$C$37,SUM(Popn!P$118:P$122)*Tracks!$B$37,SUM(Popn!P$29:P$38)*Tracks!$C$38,SUM(Popn!P$123:P$132)*Tracks!$B$38,SUM(Popn!P$39:P$48)*Tracks!$C$39,SUM(Popn!P$133:P$142)*Tracks!$B$39,SUM(Popn!P$49:P$58)*Tracks!$C$40,SUM(Popn!P$143:P$152)*Tracks!$B$40,SUM(Popn!P$59:P$68)*Tracks!$C$41,SUM(Popn!P$153:P$162)*Tracks!$B$41,SUM(Popn!P$69:P$73)*Tracks!$C$42,SUM(Popn!P$163:P$167)*Tracks!$B$42,SUM(Popn!P$74:P$99)*Tracks!$C$43,SUM(Popn!P$168:P$193)*Tracks!$B$43)/1000000000</f>
        <v>5.94150098</v>
      </c>
      <c r="Q81" s="98">
        <f>SUM(SUM(Popn!Q$9:Q$13)*Tracks!$C$34,SUM(Popn!Q$103:Q$107)*Tracks!$B$34,SUM(Popn!Q$14:Q$18)*Tracks!$C$35,SUM(Popn!Q$108:Q$112)*Tracks!$B$35,SUM(Popn!Q$19:Q$23)*Tracks!$C$36,SUM(Popn!Q$113:Q$117)*Tracks!$B$36,SUM(Popn!Q$24:Q$28)*Tracks!$C$37,SUM(Popn!Q$118:Q$122)*Tracks!$B$37,SUM(Popn!Q$29:Q$38)*Tracks!$C$38,SUM(Popn!Q$123:Q$132)*Tracks!$B$38,SUM(Popn!Q$39:Q$48)*Tracks!$C$39,SUM(Popn!Q$133:Q$142)*Tracks!$B$39,SUM(Popn!Q$49:Q$58)*Tracks!$C$40,SUM(Popn!Q$143:Q$152)*Tracks!$B$40,SUM(Popn!Q$59:Q$68)*Tracks!$C$41,SUM(Popn!Q$153:Q$162)*Tracks!$B$41,SUM(Popn!Q$69:Q$73)*Tracks!$C$42,SUM(Popn!Q$163:Q$167)*Tracks!$B$42,SUM(Popn!Q$74:Q$99)*Tracks!$C$43,SUM(Popn!Q$168:Q$193)*Tracks!$B$43)/1000000000</f>
        <v>5.96591406</v>
      </c>
      <c r="R81" s="98">
        <f>SUM(SUM(Popn!R$9:R$13)*Tracks!$C$34,SUM(Popn!R$103:R$107)*Tracks!$B$34,SUM(Popn!R$14:R$18)*Tracks!$C$35,SUM(Popn!R$108:R$112)*Tracks!$B$35,SUM(Popn!R$19:R$23)*Tracks!$C$36,SUM(Popn!R$113:R$117)*Tracks!$B$36,SUM(Popn!R$24:R$28)*Tracks!$C$37,SUM(Popn!R$118:R$122)*Tracks!$B$37,SUM(Popn!R$29:R$38)*Tracks!$C$38,SUM(Popn!R$123:R$132)*Tracks!$B$38,SUM(Popn!R$39:R$48)*Tracks!$C$39,SUM(Popn!R$133:R$142)*Tracks!$B$39,SUM(Popn!R$49:R$58)*Tracks!$C$40,SUM(Popn!R$143:R$152)*Tracks!$B$40,SUM(Popn!R$59:R$68)*Tracks!$C$41,SUM(Popn!R$153:R$162)*Tracks!$B$41,SUM(Popn!R$69:R$73)*Tracks!$C$42,SUM(Popn!R$163:R$167)*Tracks!$B$42,SUM(Popn!R$74:R$99)*Tracks!$C$43,SUM(Popn!R$168:R$193)*Tracks!$B$43)/1000000000</f>
        <v>5.98865928</v>
      </c>
      <c r="S81" s="98">
        <f>SUM(SUM(Popn!S$9:S$13)*Tracks!$C$34,SUM(Popn!S$103:S$107)*Tracks!$B$34,SUM(Popn!S$14:S$18)*Tracks!$C$35,SUM(Popn!S$108:S$112)*Tracks!$B$35,SUM(Popn!S$19:S$23)*Tracks!$C$36,SUM(Popn!S$113:S$117)*Tracks!$B$36,SUM(Popn!S$24:S$28)*Tracks!$C$37,SUM(Popn!S$118:S$122)*Tracks!$B$37,SUM(Popn!S$29:S$38)*Tracks!$C$38,SUM(Popn!S$123:S$132)*Tracks!$B$38,SUM(Popn!S$39:S$48)*Tracks!$C$39,SUM(Popn!S$133:S$142)*Tracks!$B$39,SUM(Popn!S$49:S$58)*Tracks!$C$40,SUM(Popn!S$143:S$152)*Tracks!$B$40,SUM(Popn!S$59:S$68)*Tracks!$C$41,SUM(Popn!S$153:S$162)*Tracks!$B$41,SUM(Popn!S$69:S$73)*Tracks!$C$42,SUM(Popn!S$163:S$167)*Tracks!$B$42,SUM(Popn!S$74:S$99)*Tracks!$C$43,SUM(Popn!S$168:S$193)*Tracks!$B$43)/1000000000</f>
        <v>6.01573035</v>
      </c>
      <c r="T81" s="98">
        <f>SUM(SUM(Popn!T$9:T$13)*Tracks!$C$34,SUM(Popn!T$103:T$107)*Tracks!$B$34,SUM(Popn!T$14:T$18)*Tracks!$C$35,SUM(Popn!T$108:T$112)*Tracks!$B$35,SUM(Popn!T$19:T$23)*Tracks!$C$36,SUM(Popn!T$113:T$117)*Tracks!$B$36,SUM(Popn!T$24:T$28)*Tracks!$C$37,SUM(Popn!T$118:T$122)*Tracks!$B$37,SUM(Popn!T$29:T$38)*Tracks!$C$38,SUM(Popn!T$123:T$132)*Tracks!$B$38,SUM(Popn!T$39:T$48)*Tracks!$C$39,SUM(Popn!T$133:T$142)*Tracks!$B$39,SUM(Popn!T$49:T$58)*Tracks!$C$40,SUM(Popn!T$143:T$152)*Tracks!$B$40,SUM(Popn!T$59:T$68)*Tracks!$C$41,SUM(Popn!T$153:T$162)*Tracks!$B$41,SUM(Popn!T$69:T$73)*Tracks!$C$42,SUM(Popn!T$163:T$167)*Tracks!$B$42,SUM(Popn!T$74:T$99)*Tracks!$C$43,SUM(Popn!T$168:T$193)*Tracks!$B$43)/1000000000</f>
        <v>6.05394595</v>
      </c>
    </row>
    <row r="82" spans="1:20" ht="12.75">
      <c r="A82" s="47"/>
      <c r="B82" s="61"/>
      <c r="C82" s="94"/>
      <c r="D82" s="98"/>
      <c r="E82" s="98"/>
      <c r="F82" s="98"/>
      <c r="G82" s="98"/>
      <c r="H82" s="98"/>
      <c r="I82" s="98"/>
      <c r="J82" s="98"/>
      <c r="T82" s="98"/>
    </row>
    <row r="83" spans="1:20" ht="12.75">
      <c r="A83" s="145" t="s">
        <v>687</v>
      </c>
      <c r="B83" s="102"/>
      <c r="C83" s="9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</row>
    <row r="84" spans="1:20" ht="12.75">
      <c r="A84" s="46" t="s">
        <v>149</v>
      </c>
      <c r="B84" s="335"/>
      <c r="C84" s="94"/>
      <c r="D84" s="96">
        <f>Data!C$39</f>
        <v>10.355</v>
      </c>
      <c r="E84" s="96">
        <f>Data!D$39</f>
        <v>11.297</v>
      </c>
      <c r="F84" s="175">
        <f ca="1">Data!E$39*IF($F$1="Yes",OFFSET(ReadyReckoner!$A$45,0,F$247)*OFFSET(ReadyReckoner!$A$48,0,F$247),1)+IF(OFFSET(Scenarios!$A$55,0,$C$1)="Yes",OFFSET(Scenarios!$A$56,0,$C$1)*F$110,0)</f>
        <v>12.395</v>
      </c>
      <c r="G84" s="175">
        <f ca="1">Data!F$39*IF($F$1="Yes",OFFSET(ReadyReckoner!$A$45,0,G$247)*OFFSET(ReadyReckoner!$A$48,0,G$247),1)+IF(OFFSET(Scenarios!$A$55,0,$C$1)="Yes",OFFSET(Scenarios!$A$56,0,$C$1)*G$110,0)</f>
        <v>13.397</v>
      </c>
      <c r="H84" s="175">
        <f ca="1">Data!G$39*IF($F$1="Yes",OFFSET(ReadyReckoner!$A$45,0,H$247)*OFFSET(ReadyReckoner!$A$48,0,H$247),1)+IF(OFFSET(Scenarios!$A$55,0,$C$1)="Yes",OFFSET(Scenarios!$A$56,0,$C$1)*H$110,0)</f>
        <v>13.371</v>
      </c>
      <c r="I84" s="175">
        <f ca="1">Data!H$39*IF($F$1="Yes",OFFSET(ReadyReckoner!$A$45,0,I$247)*OFFSET(ReadyReckoner!$A$48,0,I$247),1)+IF(OFFSET(Scenarios!$A$55,0,$C$1)="Yes",OFFSET(Scenarios!$A$56,0,$C$1)*I$110,0)</f>
        <v>13.358</v>
      </c>
      <c r="J84" s="175">
        <f ca="1">Data!I$39*IF($F$1="Yes",OFFSET(ReadyReckoner!$A$45,0,J$247)*OFFSET(ReadyReckoner!$A$48,0,J$247),1)+IF(OFFSET(Scenarios!$A$55,0,$C$1)="Yes",OFFSET(Scenarios!$A$56,0,$C$1)*J$110,0)</f>
        <v>13.324</v>
      </c>
      <c r="K84" s="100">
        <f ca="1">J$84*SUM(K$86,K$87)/SUM(J$86,J$87)+IF(OFFSET(Scenarios!$A$55,0,$C$1)="Yes",(K$110-J$110*SUM(K$86,K$87)/SUM(J$86,J$87))*OFFSET(Scenarios!$A$56,0,$C$1),0)</f>
        <v>13.539325918007686</v>
      </c>
      <c r="L84" s="100">
        <f ca="1">K$84*SUM(L$86,L$87)/SUM(K$86,K$87)+IF(OFFSET(Scenarios!$A$55,0,$C$1)="Yes",(L$110-K$110*SUM(L$86,L$87)/SUM(K$86,K$87))*OFFSET(Scenarios!$A$56,0,$C$1),0)</f>
        <v>13.764901852719865</v>
      </c>
      <c r="M84" s="100">
        <f ca="1">L$84*SUM(M$86,M$87)/SUM(L$86,L$87)+IF(OFFSET(Scenarios!$A$55,0,$C$1)="Yes",(M$110-L$110*SUM(M$86,M$87)/SUM(L$86,L$87))*OFFSET(Scenarios!$A$56,0,$C$1),0)</f>
        <v>13.998393295820518</v>
      </c>
      <c r="N84" s="100">
        <f ca="1">M$84*SUM(N$86,N$87)/SUM(M$86,M$87)+IF(OFFSET(Scenarios!$A$55,0,$C$1)="Yes",(N$110-M$110*SUM(N$86,N$87)/SUM(M$86,M$87))*OFFSET(Scenarios!$A$56,0,$C$1),0)</f>
        <v>14.24057621527226</v>
      </c>
      <c r="O84" s="100">
        <f ca="1">N$84*SUM(O$86,O$87)/SUM(N$86,N$87)+IF(OFFSET(Scenarios!$A$55,0,$C$1)="Yes",(O$110-N$110*SUM(O$86,O$87)/SUM(N$86,N$87))*OFFSET(Scenarios!$A$56,0,$C$1),0)</f>
        <v>14.473713960531576</v>
      </c>
      <c r="P84" s="100">
        <f ca="1">O$84*SUM(P$86,P$87)/SUM(O$86,O$87)+IF(OFFSET(Scenarios!$A$55,0,$C$1)="Yes",(P$110-O$110*SUM(P$86,P$87)/SUM(O$86,O$87))*OFFSET(Scenarios!$A$56,0,$C$1),0)</f>
        <v>14.713903235404358</v>
      </c>
      <c r="Q84" s="100">
        <f ca="1">P$84*SUM(Q$86,Q$87)/SUM(P$86,P$87)+IF(OFFSET(Scenarios!$A$55,0,$C$1)="Yes",(Q$110-P$110*SUM(Q$86,Q$87)/SUM(P$86,P$87))*OFFSET(Scenarios!$A$56,0,$C$1),0)</f>
        <v>14.962983849333353</v>
      </c>
      <c r="R84" s="100">
        <f ca="1">Q$84*SUM(R$86,R$87)/SUM(Q$86,Q$87)+IF(OFFSET(Scenarios!$A$55,0,$C$1)="Yes",(R$110-Q$110*SUM(R$86,R$87)/SUM(Q$86,Q$87))*OFFSET(Scenarios!$A$56,0,$C$1),0)</f>
        <v>15.224332784567611</v>
      </c>
      <c r="S84" s="100">
        <f ca="1">R$84*SUM(S$86,S$87)/SUM(R$86,R$87)+IF(OFFSET(Scenarios!$A$55,0,$C$1)="Yes",(S$110-R$110*SUM(S$86,S$87)/SUM(R$86,R$87))*OFFSET(Scenarios!$A$56,0,$C$1),0)</f>
        <v>15.503107906078148</v>
      </c>
      <c r="T84" s="100">
        <f ca="1">S$84*SUM(T$86,T$87)/SUM(S$86,S$87)+IF(OFFSET(Scenarios!$A$55,0,$C$1)="Yes",(T$110-S$110*SUM(T$86,T$87)/SUM(S$86,S$87))*OFFSET(Scenarios!$A$56,0,$C$1),0)</f>
        <v>15.766648899267937</v>
      </c>
    </row>
    <row r="85" spans="1:20" ht="12.75">
      <c r="A85" s="46" t="s">
        <v>150</v>
      </c>
      <c r="B85" s="335"/>
      <c r="C85" s="94"/>
      <c r="D85" s="96">
        <f>Data!C$21</f>
        <v>10.661</v>
      </c>
      <c r="E85" s="96">
        <f>Data!D$21</f>
        <v>10.809</v>
      </c>
      <c r="F85" s="175">
        <f ca="1">Data!E$21+IF($F$1="Yes",Data!E$39*(OFFSET(ReadyReckoner!$A$45,0,F$247)*OFFSET(ReadyReckoner!$A$48,0,F$247)-1),0)+IF(OFFSET(Scenarios!$A$55,0,$C$1)="Yes",OFFSET(Scenarios!$A$56,0,$C$1)*F$110,0)</f>
        <v>11.947</v>
      </c>
      <c r="G85" s="175">
        <f ca="1">Data!F$21+IF($F$1="Yes",Data!F$39*(OFFSET(ReadyReckoner!$A$45,0,G$247)*OFFSET(ReadyReckoner!$A$48,0,G$247)-1),0)+IF(OFFSET(Scenarios!$A$55,0,$C$1)="Yes",OFFSET(Scenarios!$A$56,0,$C$1)*G$110,0)</f>
        <v>12.815</v>
      </c>
      <c r="H85" s="175">
        <f ca="1">Data!G$21+IF($F$1="Yes",Data!G$39*(OFFSET(ReadyReckoner!$A$45,0,H$247)*OFFSET(ReadyReckoner!$A$48,0,H$247)-1),0)+IF(OFFSET(Scenarios!$A$55,0,$C$1)="Yes",OFFSET(Scenarios!$A$56,0,$C$1)*H$110,0)</f>
        <v>12.754</v>
      </c>
      <c r="I85" s="175">
        <f ca="1">Data!H$21+IF($F$1="Yes",Data!H$39*(OFFSET(ReadyReckoner!$A$45,0,I$247)*OFFSET(ReadyReckoner!$A$48,0,I$247)-1),0)+IF(OFFSET(Scenarios!$A$55,0,$C$1)="Yes",OFFSET(Scenarios!$A$56,0,$C$1)*I$110,0)</f>
        <v>12.713</v>
      </c>
      <c r="J85" s="175">
        <f ca="1">Data!I$21+IF($F$1="Yes",Data!I$39*(OFFSET(ReadyReckoner!$A$45,0,J$247)*OFFSET(ReadyReckoner!$A$48,0,J$247)-1),0)+IF(OFFSET(Scenarios!$A$55,0,$C$1)="Yes",OFFSET(Scenarios!$A$56,0,$C$1)*J$110,0)</f>
        <v>12.692</v>
      </c>
      <c r="K85" s="100">
        <f>SUM(K$84,(J$85-J$84)*SUM(K$86,K$87)/SUM(J$86,J$87))</f>
        <v>12.897112319975498</v>
      </c>
      <c r="L85" s="100">
        <f aca="true" t="shared" si="46" ref="L85:T85">SUM(L$84,(K$85-K$84)*SUM(L$86,L$87)/SUM(K$86,K$87))</f>
        <v>13.11198846552991</v>
      </c>
      <c r="M85" s="100">
        <f t="shared" si="46"/>
        <v>13.33440466155464</v>
      </c>
      <c r="N85" s="100">
        <f t="shared" si="46"/>
        <v>13.56510006936622</v>
      </c>
      <c r="O85" s="100">
        <f t="shared" si="46"/>
        <v>13.787179344571207</v>
      </c>
      <c r="P85" s="100">
        <f t="shared" si="46"/>
        <v>14.015975672752335</v>
      </c>
      <c r="Q85" s="100">
        <f t="shared" si="46"/>
        <v>14.253241595297128</v>
      </c>
      <c r="R85" s="100">
        <f t="shared" si="46"/>
        <v>14.502193913369268</v>
      </c>
      <c r="S85" s="100">
        <f t="shared" si="46"/>
        <v>14.767745837882307</v>
      </c>
      <c r="T85" s="100">
        <f t="shared" si="46"/>
        <v>15.018786237579455</v>
      </c>
    </row>
    <row r="86" spans="1:20" ht="12.75">
      <c r="A86" s="145" t="s">
        <v>688</v>
      </c>
      <c r="B86" s="102"/>
      <c r="C86" s="94"/>
      <c r="D86" s="94">
        <f>SUM(SUM(Popn!D$9:D$13)*Tracks!$M$50,SUM(Popn!D$14:D$18)*Tracks!$M$51,SUM(Popn!D$19:D$23)*Tracks!$M$52,SUM(Popn!D$24:D$28)*Tracks!$M$53,SUM(Popn!D$29:D$33)*Tracks!$M$54,SUM(Popn!D$34:D$38)*Tracks!$M$55,SUM(Popn!D$39:D$43)*Tracks!$M$56,SUM(Popn!D$44:D$48)*Tracks!$M$57,SUM(Popn!D$49:D$53)*Tracks!$M$58,SUM(Popn!D$54:D$58)*Tracks!$M$59,SUM(Popn!D$59:D$63)*Tracks!$M$60,SUM(Popn!D$64:D$68)*Tracks!$M$61,SUM(Popn!D$69:D$73)*Tracks!$M$62,SUM(Popn!D$74:D$78)*Tracks!$M$63,SUM(Popn!D$79:D$83)*Tracks!$M$64,SUM(Popn!D$84:D$88)*Tracks!$M$65,SUM(Popn!D$89:D$93)*Tracks!$M$66,SUM(Popn!D$94:D$99)*Tracks!$M$67)/1000000000</f>
        <v>4.304613645591327</v>
      </c>
      <c r="E86" s="94">
        <f>SUM(SUM(Popn!E$9:E$13)*Tracks!$M$50,SUM(Popn!E$14:E$18)*Tracks!$M$51,SUM(Popn!E$19:E$23)*Tracks!$M$52,SUM(Popn!E$24:E$28)*Tracks!$M$53,SUM(Popn!E$29:E$33)*Tracks!$M$54,SUM(Popn!E$34:E$38)*Tracks!$M$55,SUM(Popn!E$39:E$43)*Tracks!$M$56,SUM(Popn!E$44:E$48)*Tracks!$M$57,SUM(Popn!E$49:E$53)*Tracks!$M$58,SUM(Popn!E$54:E$58)*Tracks!$M$59,SUM(Popn!E$59:E$63)*Tracks!$M$60,SUM(Popn!E$64:E$68)*Tracks!$M$61,SUM(Popn!E$69:E$73)*Tracks!$M$62,SUM(Popn!E$74:E$78)*Tracks!$M$63,SUM(Popn!E$79:E$83)*Tracks!$M$64,SUM(Popn!E$84:E$88)*Tracks!$M$65,SUM(Popn!E$89:E$93)*Tracks!$M$66,SUM(Popn!E$94:E$99)*Tracks!$M$67)/1000000000</f>
        <v>4.389667405744005</v>
      </c>
      <c r="F86" s="169">
        <f>SUM(SUM(Popn!F$9:F$13)*Tracks!$M$50,SUM(Popn!F$14:F$18)*Tracks!$M$51,SUM(Popn!F$19:F$23)*Tracks!$M$52,SUM(Popn!F$24:F$28)*Tracks!$M$53,SUM(Popn!F$29:F$33)*Tracks!$M$54,SUM(Popn!F$34:F$38)*Tracks!$M$55,SUM(Popn!F$39:F$43)*Tracks!$M$56,SUM(Popn!F$44:F$48)*Tracks!$M$57,SUM(Popn!F$49:F$53)*Tracks!$M$58,SUM(Popn!F$54:F$58)*Tracks!$M$59,SUM(Popn!F$59:F$63)*Tracks!$M$60,SUM(Popn!F$64:F$68)*Tracks!$M$61,SUM(Popn!F$69:F$73)*Tracks!$M$62,SUM(Popn!F$74:F$78)*Tracks!$M$63,SUM(Popn!F$79:F$83)*Tracks!$M$64,SUM(Popn!F$84:F$88)*Tracks!$M$65,SUM(Popn!F$89:F$93)*Tracks!$M$66,SUM(Popn!F$94:F$99)*Tracks!$M$67)/1000000000</f>
        <v>4.47983232317292</v>
      </c>
      <c r="G86" s="169">
        <f>SUM(SUM(Popn!G$9:G$13)*Tracks!$M$50,SUM(Popn!G$14:G$18)*Tracks!$M$51,SUM(Popn!G$19:G$23)*Tracks!$M$52,SUM(Popn!G$24:G$28)*Tracks!$M$53,SUM(Popn!G$29:G$33)*Tracks!$M$54,SUM(Popn!G$34:G$38)*Tracks!$M$55,SUM(Popn!G$39:G$43)*Tracks!$M$56,SUM(Popn!G$44:G$48)*Tracks!$M$57,SUM(Popn!G$49:G$53)*Tracks!$M$58,SUM(Popn!G$54:G$58)*Tracks!$M$59,SUM(Popn!G$59:G$63)*Tracks!$M$60,SUM(Popn!G$64:G$68)*Tracks!$M$61,SUM(Popn!G$69:G$73)*Tracks!$M$62,SUM(Popn!G$74:G$78)*Tracks!$M$63,SUM(Popn!G$79:G$83)*Tracks!$M$64,SUM(Popn!G$84:G$88)*Tracks!$M$65,SUM(Popn!G$89:G$93)*Tracks!$M$66,SUM(Popn!G$94:G$99)*Tracks!$M$67)/1000000000</f>
        <v>4.574610697802314</v>
      </c>
      <c r="H86" s="169">
        <f>SUM(SUM(Popn!H$9:H$13)*Tracks!$M$50,SUM(Popn!H$14:H$18)*Tracks!$M$51,SUM(Popn!H$19:H$23)*Tracks!$M$52,SUM(Popn!H$24:H$28)*Tracks!$M$53,SUM(Popn!H$29:H$33)*Tracks!$M$54,SUM(Popn!H$34:H$38)*Tracks!$M$55,SUM(Popn!H$39:H$43)*Tracks!$M$56,SUM(Popn!H$44:H$48)*Tracks!$M$57,SUM(Popn!H$49:H$53)*Tracks!$M$58,SUM(Popn!H$54:H$58)*Tracks!$M$59,SUM(Popn!H$59:H$63)*Tracks!$M$60,SUM(Popn!H$64:H$68)*Tracks!$M$61,SUM(Popn!H$69:H$73)*Tracks!$M$62,SUM(Popn!H$74:H$78)*Tracks!$M$63,SUM(Popn!H$79:H$83)*Tracks!$M$64,SUM(Popn!H$84:H$88)*Tracks!$M$65,SUM(Popn!H$89:H$93)*Tracks!$M$66,SUM(Popn!H$94:H$99)*Tracks!$M$67)/1000000000</f>
        <v>4.665849213182913</v>
      </c>
      <c r="I86" s="169">
        <f>SUM(SUM(Popn!I$9:I$13)*Tracks!$M$50,SUM(Popn!I$14:I$18)*Tracks!$M$51,SUM(Popn!I$19:I$23)*Tracks!$M$52,SUM(Popn!I$24:I$28)*Tracks!$M$53,SUM(Popn!I$29:I$33)*Tracks!$M$54,SUM(Popn!I$34:I$38)*Tracks!$M$55,SUM(Popn!I$39:I$43)*Tracks!$M$56,SUM(Popn!I$44:I$48)*Tracks!$M$57,SUM(Popn!I$49:I$53)*Tracks!$M$58,SUM(Popn!I$54:I$58)*Tracks!$M$59,SUM(Popn!I$59:I$63)*Tracks!$M$60,SUM(Popn!I$64:I$68)*Tracks!$M$61,SUM(Popn!I$69:I$73)*Tracks!$M$62,SUM(Popn!I$74:I$78)*Tracks!$M$63,SUM(Popn!I$79:I$83)*Tracks!$M$64,SUM(Popn!I$84:I$88)*Tracks!$M$65,SUM(Popn!I$89:I$93)*Tracks!$M$66,SUM(Popn!I$94:I$99)*Tracks!$M$67)/1000000000</f>
        <v>4.756293728698284</v>
      </c>
      <c r="J86" s="169">
        <f>SUM(SUM(Popn!J$9:J$13)*Tracks!$M$50,SUM(Popn!J$14:J$18)*Tracks!$M$51,SUM(Popn!J$19:J$23)*Tracks!$M$52,SUM(Popn!J$24:J$28)*Tracks!$M$53,SUM(Popn!J$29:J$33)*Tracks!$M$54,SUM(Popn!J$34:J$38)*Tracks!$M$55,SUM(Popn!J$39:J$43)*Tracks!$M$56,SUM(Popn!J$44:J$48)*Tracks!$M$57,SUM(Popn!J$49:J$53)*Tracks!$M$58,SUM(Popn!J$54:J$58)*Tracks!$M$59,SUM(Popn!J$59:J$63)*Tracks!$M$60,SUM(Popn!J$64:J$68)*Tracks!$M$61,SUM(Popn!J$69:J$73)*Tracks!$M$62,SUM(Popn!J$74:J$78)*Tracks!$M$63,SUM(Popn!J$79:J$83)*Tracks!$M$64,SUM(Popn!J$84:J$88)*Tracks!$M$65,SUM(Popn!J$89:J$93)*Tracks!$M$66,SUM(Popn!J$94:J$99)*Tracks!$M$67)/1000000000</f>
        <v>4.839740780434063</v>
      </c>
      <c r="K86" s="98">
        <f>SUM(SUM(Popn!K$9:K$13)*Tracks!$M$50,SUM(Popn!K$14:K$18)*Tracks!$M$51,SUM(Popn!K$19:K$23)*Tracks!$M$52,SUM(Popn!K$24:K$28)*Tracks!$M$53,SUM(Popn!K$29:K$33)*Tracks!$M$54,SUM(Popn!K$34:K$38)*Tracks!$M$55,SUM(Popn!K$39:K$43)*Tracks!$M$56,SUM(Popn!K$44:K$48)*Tracks!$M$57,SUM(Popn!K$49:K$53)*Tracks!$M$58,SUM(Popn!K$54:K$58)*Tracks!$M$59,SUM(Popn!K$59:K$63)*Tracks!$M$60,SUM(Popn!K$64:K$68)*Tracks!$M$61,SUM(Popn!K$69:K$73)*Tracks!$M$62,SUM(Popn!K$74:K$78)*Tracks!$M$63,SUM(Popn!K$79:K$83)*Tracks!$M$64,SUM(Popn!K$84:K$88)*Tracks!$M$65,SUM(Popn!K$89:K$93)*Tracks!$M$66,SUM(Popn!K$94:K$99)*Tracks!$M$67)/1000000000</f>
        <v>4.92470563182218</v>
      </c>
      <c r="L86" s="98">
        <f>SUM(SUM(Popn!L$9:L$13)*Tracks!$M$50,SUM(Popn!L$14:L$18)*Tracks!$M$51,SUM(Popn!L$19:L$23)*Tracks!$M$52,SUM(Popn!L$24:L$28)*Tracks!$M$53,SUM(Popn!L$29:L$33)*Tracks!$M$54,SUM(Popn!L$34:L$38)*Tracks!$M$55,SUM(Popn!L$39:L$43)*Tracks!$M$56,SUM(Popn!L$44:L$48)*Tracks!$M$57,SUM(Popn!L$49:L$53)*Tracks!$M$58,SUM(Popn!L$54:L$58)*Tracks!$M$59,SUM(Popn!L$59:L$63)*Tracks!$M$60,SUM(Popn!L$64:L$68)*Tracks!$M$61,SUM(Popn!L$69:L$73)*Tracks!$M$62,SUM(Popn!L$74:L$78)*Tracks!$M$63,SUM(Popn!L$79:L$83)*Tracks!$M$64,SUM(Popn!L$84:L$88)*Tracks!$M$65,SUM(Popn!L$89:L$93)*Tracks!$M$66,SUM(Popn!L$94:L$99)*Tracks!$M$67)/1000000000</f>
        <v>5.012145802939092</v>
      </c>
      <c r="M86" s="98">
        <f>SUM(SUM(Popn!M$9:M$13)*Tracks!$M$50,SUM(Popn!M$14:M$18)*Tracks!$M$51,SUM(Popn!M$19:M$23)*Tracks!$M$52,SUM(Popn!M$24:M$28)*Tracks!$M$53,SUM(Popn!M$29:M$33)*Tracks!$M$54,SUM(Popn!M$34:M$38)*Tracks!$M$55,SUM(Popn!M$39:M$43)*Tracks!$M$56,SUM(Popn!M$44:M$48)*Tracks!$M$57,SUM(Popn!M$49:M$53)*Tracks!$M$58,SUM(Popn!M$54:M$58)*Tracks!$M$59,SUM(Popn!M$59:M$63)*Tracks!$M$60,SUM(Popn!M$64:M$68)*Tracks!$M$61,SUM(Popn!M$69:M$73)*Tracks!$M$62,SUM(Popn!M$74:M$78)*Tracks!$M$63,SUM(Popn!M$79:M$83)*Tracks!$M$64,SUM(Popn!M$84:M$88)*Tracks!$M$65,SUM(Popn!M$89:M$93)*Tracks!$M$66,SUM(Popn!M$94:M$99)*Tracks!$M$67)/1000000000</f>
        <v>5.101906488607617</v>
      </c>
      <c r="N86" s="98">
        <f>SUM(SUM(Popn!N$9:N$13)*Tracks!$M$50,SUM(Popn!N$14:N$18)*Tracks!$M$51,SUM(Popn!N$19:N$23)*Tracks!$M$52,SUM(Popn!N$24:N$28)*Tracks!$M$53,SUM(Popn!N$29:N$33)*Tracks!$M$54,SUM(Popn!N$34:N$38)*Tracks!$M$55,SUM(Popn!N$39:N$43)*Tracks!$M$56,SUM(Popn!N$44:N$48)*Tracks!$M$57,SUM(Popn!N$49:N$53)*Tracks!$M$58,SUM(Popn!N$54:N$58)*Tracks!$M$59,SUM(Popn!N$59:N$63)*Tracks!$M$60,SUM(Popn!N$64:N$68)*Tracks!$M$61,SUM(Popn!N$69:N$73)*Tracks!$M$62,SUM(Popn!N$74:N$78)*Tracks!$M$63,SUM(Popn!N$79:N$83)*Tracks!$M$64,SUM(Popn!N$84:N$88)*Tracks!$M$65,SUM(Popn!N$89:N$93)*Tracks!$M$66,SUM(Popn!N$94:N$99)*Tracks!$M$67)/1000000000</f>
        <v>5.1955651820848034</v>
      </c>
      <c r="O86" s="98">
        <f>SUM(SUM(Popn!O$9:O$13)*Tracks!$M$50,SUM(Popn!O$14:O$18)*Tracks!$M$51,SUM(Popn!O$19:O$23)*Tracks!$M$52,SUM(Popn!O$24:O$28)*Tracks!$M$53,SUM(Popn!O$29:O$33)*Tracks!$M$54,SUM(Popn!O$34:O$38)*Tracks!$M$55,SUM(Popn!O$39:O$43)*Tracks!$M$56,SUM(Popn!O$44:O$48)*Tracks!$M$57,SUM(Popn!O$49:O$53)*Tracks!$M$58,SUM(Popn!O$54:O$58)*Tracks!$M$59,SUM(Popn!O$59:O$63)*Tracks!$M$60,SUM(Popn!O$64:O$68)*Tracks!$M$61,SUM(Popn!O$69:O$73)*Tracks!$M$62,SUM(Popn!O$74:O$78)*Tracks!$M$63,SUM(Popn!O$79:O$83)*Tracks!$M$64,SUM(Popn!O$84:O$88)*Tracks!$M$65,SUM(Popn!O$89:O$93)*Tracks!$M$66,SUM(Popn!O$94:O$99)*Tracks!$M$67)/1000000000</f>
        <v>5.284968360544688</v>
      </c>
      <c r="P86" s="98">
        <f>SUM(SUM(Popn!P$9:P$13)*Tracks!$M$50,SUM(Popn!P$14:P$18)*Tracks!$M$51,SUM(Popn!P$19:P$23)*Tracks!$M$52,SUM(Popn!P$24:P$28)*Tracks!$M$53,SUM(Popn!P$29:P$33)*Tracks!$M$54,SUM(Popn!P$34:P$38)*Tracks!$M$55,SUM(Popn!P$39:P$43)*Tracks!$M$56,SUM(Popn!P$44:P$48)*Tracks!$M$57,SUM(Popn!P$49:P$53)*Tracks!$M$58,SUM(Popn!P$54:P$58)*Tracks!$M$59,SUM(Popn!P$59:P$63)*Tracks!$M$60,SUM(Popn!P$64:P$68)*Tracks!$M$61,SUM(Popn!P$69:P$73)*Tracks!$M$62,SUM(Popn!P$74:P$78)*Tracks!$M$63,SUM(Popn!P$79:P$83)*Tracks!$M$64,SUM(Popn!P$84:P$88)*Tracks!$M$65,SUM(Popn!P$89:P$93)*Tracks!$M$66,SUM(Popn!P$94:P$99)*Tracks!$M$67)/1000000000</f>
        <v>5.377549917437115</v>
      </c>
      <c r="Q86" s="98">
        <f>SUM(SUM(Popn!Q$9:Q$13)*Tracks!$M$50,SUM(Popn!Q$14:Q$18)*Tracks!$M$51,SUM(Popn!Q$19:Q$23)*Tracks!$M$52,SUM(Popn!Q$24:Q$28)*Tracks!$M$53,SUM(Popn!Q$29:Q$33)*Tracks!$M$54,SUM(Popn!Q$34:Q$38)*Tracks!$M$55,SUM(Popn!Q$39:Q$43)*Tracks!$M$56,SUM(Popn!Q$44:Q$48)*Tracks!$M$57,SUM(Popn!Q$49:Q$53)*Tracks!$M$58,SUM(Popn!Q$54:Q$58)*Tracks!$M$59,SUM(Popn!Q$59:Q$63)*Tracks!$M$60,SUM(Popn!Q$64:Q$68)*Tracks!$M$61,SUM(Popn!Q$69:Q$73)*Tracks!$M$62,SUM(Popn!Q$74:Q$78)*Tracks!$M$63,SUM(Popn!Q$79:Q$83)*Tracks!$M$64,SUM(Popn!Q$84:Q$88)*Tracks!$M$65,SUM(Popn!Q$89:Q$93)*Tracks!$M$66,SUM(Popn!Q$94:Q$99)*Tracks!$M$67)/1000000000</f>
        <v>5.472102216522479</v>
      </c>
      <c r="R86" s="98">
        <f>SUM(SUM(Popn!R$9:R$13)*Tracks!$M$50,SUM(Popn!R$14:R$18)*Tracks!$M$51,SUM(Popn!R$19:R$23)*Tracks!$M$52,SUM(Popn!R$24:R$28)*Tracks!$M$53,SUM(Popn!R$29:R$33)*Tracks!$M$54,SUM(Popn!R$34:R$38)*Tracks!$M$55,SUM(Popn!R$39:R$43)*Tracks!$M$56,SUM(Popn!R$44:R$48)*Tracks!$M$57,SUM(Popn!R$49:R$53)*Tracks!$M$58,SUM(Popn!R$54:R$58)*Tracks!$M$59,SUM(Popn!R$59:R$63)*Tracks!$M$60,SUM(Popn!R$64:R$68)*Tracks!$M$61,SUM(Popn!R$69:R$73)*Tracks!$M$62,SUM(Popn!R$74:R$78)*Tracks!$M$63,SUM(Popn!R$79:R$83)*Tracks!$M$64,SUM(Popn!R$84:R$88)*Tracks!$M$65,SUM(Popn!R$89:R$93)*Tracks!$M$66,SUM(Popn!R$94:R$99)*Tracks!$M$67)/1000000000</f>
        <v>5.5695204905866085</v>
      </c>
      <c r="S86" s="98">
        <f>SUM(SUM(Popn!S$9:S$13)*Tracks!$M$50,SUM(Popn!S$14:S$18)*Tracks!$M$51,SUM(Popn!S$19:S$23)*Tracks!$M$52,SUM(Popn!S$24:S$28)*Tracks!$M$53,SUM(Popn!S$29:S$33)*Tracks!$M$54,SUM(Popn!S$34:S$38)*Tracks!$M$55,SUM(Popn!S$39:S$43)*Tracks!$M$56,SUM(Popn!S$44:S$48)*Tracks!$M$57,SUM(Popn!S$49:S$53)*Tracks!$M$58,SUM(Popn!S$54:S$58)*Tracks!$M$59,SUM(Popn!S$59:S$63)*Tracks!$M$60,SUM(Popn!S$64:S$68)*Tracks!$M$61,SUM(Popn!S$69:S$73)*Tracks!$M$62,SUM(Popn!S$74:S$78)*Tracks!$M$63,SUM(Popn!S$79:S$83)*Tracks!$M$64,SUM(Popn!S$84:S$88)*Tracks!$M$65,SUM(Popn!S$89:S$93)*Tracks!$M$66,SUM(Popn!S$94:S$99)*Tracks!$M$67)/1000000000</f>
        <v>5.672334232960333</v>
      </c>
      <c r="T86" s="98">
        <f>SUM(SUM(Popn!T$9:T$13)*Tracks!$M$50,SUM(Popn!T$14:T$18)*Tracks!$M$51,SUM(Popn!T$19:T$23)*Tracks!$M$52,SUM(Popn!T$24:T$28)*Tracks!$M$53,SUM(Popn!T$29:T$33)*Tracks!$M$54,SUM(Popn!T$34:T$38)*Tracks!$M$55,SUM(Popn!T$39:T$43)*Tracks!$M$56,SUM(Popn!T$44:T$48)*Tracks!$M$57,SUM(Popn!T$49:T$53)*Tracks!$M$58,SUM(Popn!T$54:T$58)*Tracks!$M$59,SUM(Popn!T$59:T$63)*Tracks!$M$60,SUM(Popn!T$64:T$68)*Tracks!$M$61,SUM(Popn!T$69:T$73)*Tracks!$M$62,SUM(Popn!T$74:T$78)*Tracks!$M$63,SUM(Popn!T$79:T$83)*Tracks!$M$64,SUM(Popn!T$84:T$88)*Tracks!$M$65,SUM(Popn!T$89:T$93)*Tracks!$M$66,SUM(Popn!T$94:T$99)*Tracks!$M$67)/1000000000</f>
        <v>5.76937603607939</v>
      </c>
    </row>
    <row r="87" spans="1:20" ht="12.75">
      <c r="A87" s="145" t="s">
        <v>689</v>
      </c>
      <c r="B87" s="102"/>
      <c r="C87" s="94"/>
      <c r="D87" s="116">
        <f>SUM(SUM(Popn!D$103:D$107)*Tracks!$L$50,SUM(Popn!D$108:D$112)*Tracks!$L$51,SUM(Popn!D$113:D$117)*Tracks!$L$52,SUM(Popn!D$118:D$122)*Tracks!$L$53,SUM(Popn!D$123:D$127)*Tracks!$L$54,SUM(Popn!D$128:D$132)*Tracks!$L$55,SUM(Popn!D$133:D$137)*Tracks!$L$56,SUM(Popn!D$138:D$142)*Tracks!$L$57,SUM(Popn!D$143:D$147)*Tracks!$L$58,SUM(Popn!D$148:D$152)*Tracks!$L$59,SUM(Popn!D$153:D$157)*Tracks!$L$60,SUM(Popn!D$158:D$162)*Tracks!$L$61,SUM(Popn!D$163:D$167)*Tracks!$L$62,SUM(Popn!D$168:D$172)*Tracks!$L$63,SUM(Popn!D$173:D$177)*Tracks!$L$64,SUM(Popn!D$178:D$182)*Tracks!$L$65,SUM(Popn!D$183:D$187)*Tracks!$L$66,SUM(Popn!D$188:D$193)*Tracks!$L$67)/1000000000</f>
        <v>5.026236869049842</v>
      </c>
      <c r="E87" s="116">
        <f>SUM(SUM(Popn!E$103:E$107)*Tracks!$L$50,SUM(Popn!E$108:E$112)*Tracks!$L$51,SUM(Popn!E$113:E$117)*Tracks!$L$52,SUM(Popn!E$118:E$122)*Tracks!$L$53,SUM(Popn!E$123:E$127)*Tracks!$L$54,SUM(Popn!E$128:E$132)*Tracks!$L$55,SUM(Popn!E$133:E$137)*Tracks!$L$56,SUM(Popn!E$138:E$142)*Tracks!$L$57,SUM(Popn!E$143:E$147)*Tracks!$L$58,SUM(Popn!E$148:E$152)*Tracks!$L$59,SUM(Popn!E$153:E$157)*Tracks!$L$60,SUM(Popn!E$158:E$162)*Tracks!$L$61,SUM(Popn!E$163:E$167)*Tracks!$L$62,SUM(Popn!E$168:E$172)*Tracks!$L$63,SUM(Popn!E$173:E$177)*Tracks!$L$64,SUM(Popn!E$178:E$182)*Tracks!$L$65,SUM(Popn!E$183:E$187)*Tracks!$L$66,SUM(Popn!E$188:E$193)*Tracks!$L$67)/1000000000</f>
        <v>5.101575686657127</v>
      </c>
      <c r="F87" s="173">
        <f>SUM(SUM(Popn!F$103:F$107)*Tracks!$L$50,SUM(Popn!F$108:F$112)*Tracks!$L$51,SUM(Popn!F$113:F$117)*Tracks!$L$52,SUM(Popn!F$118:F$122)*Tracks!$L$53,SUM(Popn!F$123:F$127)*Tracks!$L$54,SUM(Popn!F$128:F$132)*Tracks!$L$55,SUM(Popn!F$133:F$137)*Tracks!$L$56,SUM(Popn!F$138:F$142)*Tracks!$L$57,SUM(Popn!F$143:F$147)*Tracks!$L$58,SUM(Popn!F$148:F$152)*Tracks!$L$59,SUM(Popn!F$153:F$157)*Tracks!$L$60,SUM(Popn!F$158:F$162)*Tracks!$L$61,SUM(Popn!F$163:F$167)*Tracks!$L$62,SUM(Popn!F$168:F$172)*Tracks!$L$63,SUM(Popn!F$173:F$177)*Tracks!$L$64,SUM(Popn!F$178:F$182)*Tracks!$L$65,SUM(Popn!F$183:F$187)*Tracks!$L$66,SUM(Popn!F$188:F$193)*Tracks!$L$67)/1000000000</f>
        <v>5.183975894328943</v>
      </c>
      <c r="G87" s="173">
        <f>SUM(SUM(Popn!G$103:G$107)*Tracks!$L$50,SUM(Popn!G$108:G$112)*Tracks!$L$51,SUM(Popn!G$113:G$117)*Tracks!$L$52,SUM(Popn!G$118:G$122)*Tracks!$L$53,SUM(Popn!G$123:G$127)*Tracks!$L$54,SUM(Popn!G$128:G$132)*Tracks!$L$55,SUM(Popn!G$133:G$137)*Tracks!$L$56,SUM(Popn!G$138:G$142)*Tracks!$L$57,SUM(Popn!G$143:G$147)*Tracks!$L$58,SUM(Popn!G$148:G$152)*Tracks!$L$59,SUM(Popn!G$153:G$157)*Tracks!$L$60,SUM(Popn!G$158:G$162)*Tracks!$L$61,SUM(Popn!G$163:G$167)*Tracks!$L$62,SUM(Popn!G$168:G$172)*Tracks!$L$63,SUM(Popn!G$173:G$177)*Tracks!$L$64,SUM(Popn!G$178:G$182)*Tracks!$L$65,SUM(Popn!G$183:G$187)*Tracks!$L$66,SUM(Popn!G$188:G$193)*Tracks!$L$67)/1000000000</f>
        <v>5.27492457648939</v>
      </c>
      <c r="H87" s="173">
        <f>SUM(SUM(Popn!H$103:H$107)*Tracks!$L$50,SUM(Popn!H$108:H$112)*Tracks!$L$51,SUM(Popn!H$113:H$117)*Tracks!$L$52,SUM(Popn!H$118:H$122)*Tracks!$L$53,SUM(Popn!H$123:H$127)*Tracks!$L$54,SUM(Popn!H$128:H$132)*Tracks!$L$55,SUM(Popn!H$133:H$137)*Tracks!$L$56,SUM(Popn!H$138:H$142)*Tracks!$L$57,SUM(Popn!H$143:H$147)*Tracks!$L$58,SUM(Popn!H$148:H$152)*Tracks!$L$59,SUM(Popn!H$153:H$157)*Tracks!$L$60,SUM(Popn!H$158:H$162)*Tracks!$L$61,SUM(Popn!H$163:H$167)*Tracks!$L$62,SUM(Popn!H$168:H$172)*Tracks!$L$63,SUM(Popn!H$173:H$177)*Tracks!$L$64,SUM(Popn!H$178:H$182)*Tracks!$L$65,SUM(Popn!H$183:H$187)*Tracks!$L$66,SUM(Popn!H$188:H$193)*Tracks!$L$67)/1000000000</f>
        <v>5.361946958760722</v>
      </c>
      <c r="I87" s="173">
        <f>SUM(SUM(Popn!I$103:I$107)*Tracks!$L$50,SUM(Popn!I$108:I$112)*Tracks!$L$51,SUM(Popn!I$113:I$117)*Tracks!$L$52,SUM(Popn!I$118:I$122)*Tracks!$L$53,SUM(Popn!I$123:I$127)*Tracks!$L$54,SUM(Popn!I$128:I$132)*Tracks!$L$55,SUM(Popn!I$133:I$137)*Tracks!$L$56,SUM(Popn!I$138:I$142)*Tracks!$L$57,SUM(Popn!I$143:I$147)*Tracks!$L$58,SUM(Popn!I$148:I$152)*Tracks!$L$59,SUM(Popn!I$153:I$157)*Tracks!$L$60,SUM(Popn!I$158:I$162)*Tracks!$L$61,SUM(Popn!I$163:I$167)*Tracks!$L$62,SUM(Popn!I$168:I$172)*Tracks!$L$63,SUM(Popn!I$173:I$177)*Tracks!$L$64,SUM(Popn!I$178:I$182)*Tracks!$L$65,SUM(Popn!I$183:I$187)*Tracks!$L$66,SUM(Popn!I$188:I$193)*Tracks!$L$67)/1000000000</f>
        <v>5.447386901978947</v>
      </c>
      <c r="J87" s="173">
        <f>SUM(SUM(Popn!J$103:J$107)*Tracks!$L$50,SUM(Popn!J$108:J$112)*Tracks!$L$51,SUM(Popn!J$113:J$117)*Tracks!$L$52,SUM(Popn!J$118:J$122)*Tracks!$L$53,SUM(Popn!J$123:J$127)*Tracks!$L$54,SUM(Popn!J$128:J$132)*Tracks!$L$55,SUM(Popn!J$133:J$137)*Tracks!$L$56,SUM(Popn!J$138:J$142)*Tracks!$L$57,SUM(Popn!J$143:J$147)*Tracks!$L$58,SUM(Popn!J$148:J$152)*Tracks!$L$59,SUM(Popn!J$153:J$157)*Tracks!$L$60,SUM(Popn!J$158:J$162)*Tracks!$L$61,SUM(Popn!J$163:J$167)*Tracks!$L$62,SUM(Popn!J$168:J$172)*Tracks!$L$63,SUM(Popn!J$173:J$177)*Tracks!$L$64,SUM(Popn!J$178:J$182)*Tracks!$L$65,SUM(Popn!J$183:J$187)*Tracks!$L$66,SUM(Popn!J$188:J$193)*Tracks!$L$67)/1000000000</f>
        <v>5.529586805477476</v>
      </c>
      <c r="K87" s="135">
        <f>SUM(SUM(Popn!K$103:K$107)*Tracks!$L$50,SUM(Popn!K$108:K$112)*Tracks!$L$51,SUM(Popn!K$113:K$117)*Tracks!$L$52,SUM(Popn!K$118:K$122)*Tracks!$L$53,SUM(Popn!K$123:K$127)*Tracks!$L$54,SUM(Popn!K$128:K$132)*Tracks!$L$55,SUM(Popn!K$133:K$137)*Tracks!$L$56,SUM(Popn!K$138:K$142)*Tracks!$L$57,SUM(Popn!K$143:K$147)*Tracks!$L$58,SUM(Popn!K$148:K$152)*Tracks!$L$59,SUM(Popn!K$153:K$157)*Tracks!$L$60,SUM(Popn!K$158:K$162)*Tracks!$L$61,SUM(Popn!K$163:K$167)*Tracks!$L$62,SUM(Popn!K$168:K$172)*Tracks!$L$63,SUM(Popn!K$173:K$177)*Tracks!$L$64,SUM(Popn!K$178:K$182)*Tracks!$L$65,SUM(Popn!K$183:K$187)*Tracks!$L$66,SUM(Popn!K$188:K$193)*Tracks!$L$67)/1000000000</f>
        <v>5.612198131030128</v>
      </c>
      <c r="L87" s="135">
        <f>SUM(SUM(Popn!L$103:L$107)*Tracks!$L$50,SUM(Popn!L$108:L$112)*Tracks!$L$51,SUM(Popn!L$113:L$117)*Tracks!$L$52,SUM(Popn!L$118:L$122)*Tracks!$L$53,SUM(Popn!L$123:L$127)*Tracks!$L$54,SUM(Popn!L$128:L$132)*Tracks!$L$55,SUM(Popn!L$133:L$137)*Tracks!$L$56,SUM(Popn!L$138:L$142)*Tracks!$L$57,SUM(Popn!L$143:L$147)*Tracks!$L$58,SUM(Popn!L$148:L$152)*Tracks!$L$59,SUM(Popn!L$153:L$157)*Tracks!$L$60,SUM(Popn!L$158:L$162)*Tracks!$L$61,SUM(Popn!L$163:L$167)*Tracks!$L$62,SUM(Popn!L$168:L$172)*Tracks!$L$63,SUM(Popn!L$173:L$177)*Tracks!$L$64,SUM(Popn!L$178:L$182)*Tracks!$L$65,SUM(Popn!L$183:L$187)*Tracks!$L$66,SUM(Popn!L$188:L$193)*Tracks!$L$67)/1000000000</f>
        <v>5.700311154338973</v>
      </c>
      <c r="M87" s="135">
        <f>SUM(SUM(Popn!M$103:M$107)*Tracks!$L$50,SUM(Popn!M$108:M$112)*Tracks!$L$51,SUM(Popn!M$113:M$117)*Tracks!$L$52,SUM(Popn!M$118:M$122)*Tracks!$L$53,SUM(Popn!M$123:M$127)*Tracks!$L$54,SUM(Popn!M$128:M$132)*Tracks!$L$55,SUM(Popn!M$133:M$137)*Tracks!$L$56,SUM(Popn!M$138:M$142)*Tracks!$L$57,SUM(Popn!M$143:M$147)*Tracks!$L$58,SUM(Popn!M$148:M$152)*Tracks!$L$59,SUM(Popn!M$153:M$157)*Tracks!$L$60,SUM(Popn!M$158:M$162)*Tracks!$L$61,SUM(Popn!M$163:M$167)*Tracks!$L$62,SUM(Popn!M$168:M$172)*Tracks!$L$63,SUM(Popn!M$173:M$177)*Tracks!$L$64,SUM(Popn!M$178:M$182)*Tracks!$L$65,SUM(Popn!M$183:M$187)*Tracks!$L$66,SUM(Popn!M$188:M$193)*Tracks!$L$67)/1000000000</f>
        <v>5.7922638626976095</v>
      </c>
      <c r="N87" s="135">
        <f>SUM(SUM(Popn!N$103:N$107)*Tracks!$L$50,SUM(Popn!N$108:N$112)*Tracks!$L$51,SUM(Popn!N$113:N$117)*Tracks!$L$52,SUM(Popn!N$118:N$122)*Tracks!$L$53,SUM(Popn!N$123:N$127)*Tracks!$L$54,SUM(Popn!N$128:N$132)*Tracks!$L$55,SUM(Popn!N$133:N$137)*Tracks!$L$56,SUM(Popn!N$138:N$142)*Tracks!$L$57,SUM(Popn!N$143:N$147)*Tracks!$L$58,SUM(Popn!N$148:N$152)*Tracks!$L$59,SUM(Popn!N$153:N$157)*Tracks!$L$60,SUM(Popn!N$158:N$162)*Tracks!$L$61,SUM(Popn!N$163:N$167)*Tracks!$L$62,SUM(Popn!N$168:N$172)*Tracks!$L$63,SUM(Popn!N$173:N$177)*Tracks!$L$64,SUM(Popn!N$178:N$182)*Tracks!$L$65,SUM(Popn!N$183:N$187)*Tracks!$L$66,SUM(Popn!N$188:N$193)*Tracks!$L$67)/1000000000</f>
        <v>5.887082655523901</v>
      </c>
      <c r="O87" s="135">
        <f>SUM(SUM(Popn!O$103:O$107)*Tracks!$L$50,SUM(Popn!O$108:O$112)*Tracks!$L$51,SUM(Popn!O$113:O$117)*Tracks!$L$52,SUM(Popn!O$118:O$122)*Tracks!$L$53,SUM(Popn!O$123:O$127)*Tracks!$L$54,SUM(Popn!O$128:O$132)*Tracks!$L$55,SUM(Popn!O$133:O$137)*Tracks!$L$56,SUM(Popn!O$138:O$142)*Tracks!$L$57,SUM(Popn!O$143:O$147)*Tracks!$L$58,SUM(Popn!O$148:O$152)*Tracks!$L$59,SUM(Popn!O$153:O$157)*Tracks!$L$60,SUM(Popn!O$158:O$162)*Tracks!$L$61,SUM(Popn!O$163:O$167)*Tracks!$L$62,SUM(Popn!O$168:O$172)*Tracks!$L$63,SUM(Popn!O$173:O$177)*Tracks!$L$64,SUM(Popn!O$178:O$182)*Tracks!$L$65,SUM(Popn!O$183:O$187)*Tracks!$L$66,SUM(Popn!O$188:O$193)*Tracks!$L$67)/1000000000</f>
        <v>5.979117607748095</v>
      </c>
      <c r="P87" s="135">
        <f>SUM(SUM(Popn!P$103:P$107)*Tracks!$L$50,SUM(Popn!P$108:P$112)*Tracks!$L$51,SUM(Popn!P$113:P$117)*Tracks!$L$52,SUM(Popn!P$118:P$122)*Tracks!$L$53,SUM(Popn!P$123:P$127)*Tracks!$L$54,SUM(Popn!P$128:P$132)*Tracks!$L$55,SUM(Popn!P$133:P$137)*Tracks!$L$56,SUM(Popn!P$138:P$142)*Tracks!$L$57,SUM(Popn!P$143:P$147)*Tracks!$L$58,SUM(Popn!P$148:P$152)*Tracks!$L$59,SUM(Popn!P$153:P$157)*Tracks!$L$60,SUM(Popn!P$158:P$162)*Tracks!$L$61,SUM(Popn!P$163:P$167)*Tracks!$L$62,SUM(Popn!P$168:P$172)*Tracks!$L$63,SUM(Popn!P$173:P$177)*Tracks!$L$64,SUM(Popn!P$178:P$182)*Tracks!$L$65,SUM(Popn!P$183:P$187)*Tracks!$L$66,SUM(Popn!P$188:P$193)*Tracks!$L$67)/1000000000</f>
        <v>6.073461994549636</v>
      </c>
      <c r="Q87" s="135">
        <f>SUM(SUM(Popn!Q$103:Q$107)*Tracks!$L$50,SUM(Popn!Q$108:Q$112)*Tracks!$L$51,SUM(Popn!Q$113:Q$117)*Tracks!$L$52,SUM(Popn!Q$118:Q$122)*Tracks!$L$53,SUM(Popn!Q$123:Q$127)*Tracks!$L$54,SUM(Popn!Q$128:Q$132)*Tracks!$L$55,SUM(Popn!Q$133:Q$137)*Tracks!$L$56,SUM(Popn!Q$138:Q$142)*Tracks!$L$57,SUM(Popn!Q$143:Q$147)*Tracks!$L$58,SUM(Popn!Q$148:Q$152)*Tracks!$L$59,SUM(Popn!Q$153:Q$157)*Tracks!$L$60,SUM(Popn!Q$158:Q$162)*Tracks!$L$61,SUM(Popn!Q$163:Q$167)*Tracks!$L$62,SUM(Popn!Q$168:Q$172)*Tracks!$L$63,SUM(Popn!Q$173:Q$177)*Tracks!$L$64,SUM(Popn!Q$178:Q$182)*Tracks!$L$65,SUM(Popn!Q$183:Q$187)*Tracks!$L$66,SUM(Popn!Q$188:Q$193)*Tracks!$L$67)/1000000000</f>
        <v>6.172755273453593</v>
      </c>
      <c r="R87" s="135">
        <f>SUM(SUM(Popn!R$103:R$107)*Tracks!$L$50,SUM(Popn!R$108:R$112)*Tracks!$L$51,SUM(Popn!R$113:R$117)*Tracks!$L$52,SUM(Popn!R$118:R$122)*Tracks!$L$53,SUM(Popn!R$123:R$127)*Tracks!$L$54,SUM(Popn!R$128:R$132)*Tracks!$L$55,SUM(Popn!R$133:R$137)*Tracks!$L$56,SUM(Popn!R$138:R$142)*Tracks!$L$57,SUM(Popn!R$143:R$147)*Tracks!$L$58,SUM(Popn!R$148:R$152)*Tracks!$L$59,SUM(Popn!R$153:R$157)*Tracks!$L$60,SUM(Popn!R$158:R$162)*Tracks!$L$61,SUM(Popn!R$163:R$167)*Tracks!$L$62,SUM(Popn!R$168:R$172)*Tracks!$L$63,SUM(Popn!R$173:R$177)*Tracks!$L$64,SUM(Popn!R$178:R$182)*Tracks!$L$65,SUM(Popn!R$183:R$187)*Tracks!$L$66,SUM(Popn!R$188:R$193)*Tracks!$L$67)/1000000000</f>
        <v>6.278730328995676</v>
      </c>
      <c r="S87" s="135">
        <f>SUM(SUM(Popn!S$103:S$107)*Tracks!$L$50,SUM(Popn!S$108:S$112)*Tracks!$L$51,SUM(Popn!S$113:S$117)*Tracks!$L$52,SUM(Popn!S$118:S$122)*Tracks!$L$53,SUM(Popn!S$123:S$127)*Tracks!$L$54,SUM(Popn!S$128:S$132)*Tracks!$L$55,SUM(Popn!S$133:S$137)*Tracks!$L$56,SUM(Popn!S$138:S$142)*Tracks!$L$57,SUM(Popn!S$143:S$147)*Tracks!$L$58,SUM(Popn!S$148:S$152)*Tracks!$L$59,SUM(Popn!S$153:S$157)*Tracks!$L$60,SUM(Popn!S$158:S$162)*Tracks!$L$61,SUM(Popn!S$163:S$167)*Tracks!$L$62,SUM(Popn!S$168:S$172)*Tracks!$L$63,SUM(Popn!S$173:S$177)*Tracks!$L$64,SUM(Popn!S$178:S$182)*Tracks!$L$65,SUM(Popn!S$183:S$187)*Tracks!$L$66,SUM(Popn!S$188:S$193)*Tracks!$L$67)/1000000000</f>
        <v>6.39287174706514</v>
      </c>
      <c r="T87" s="135">
        <f>SUM(SUM(Popn!T$103:T$107)*Tracks!$L$50,SUM(Popn!T$108:T$112)*Tracks!$L$51,SUM(Popn!T$113:T$117)*Tracks!$L$52,SUM(Popn!T$118:T$122)*Tracks!$L$53,SUM(Popn!T$123:T$127)*Tracks!$L$54,SUM(Popn!T$128:T$132)*Tracks!$L$55,SUM(Popn!T$133:T$137)*Tracks!$L$56,SUM(Popn!T$138:T$142)*Tracks!$L$57,SUM(Popn!T$143:T$147)*Tracks!$L$58,SUM(Popn!T$148:T$152)*Tracks!$L$59,SUM(Popn!T$153:T$157)*Tracks!$L$60,SUM(Popn!T$158:T$162)*Tracks!$L$61,SUM(Popn!T$163:T$167)*Tracks!$L$62,SUM(Popn!T$168:T$172)*Tracks!$L$63,SUM(Popn!T$173:T$177)*Tracks!$L$64,SUM(Popn!T$178:T$182)*Tracks!$L$65,SUM(Popn!T$183:T$187)*Tracks!$L$66,SUM(Popn!T$188:T$193)*Tracks!$L$67)/1000000000</f>
        <v>6.5009292302491</v>
      </c>
    </row>
    <row r="88" spans="1:20" ht="12.75">
      <c r="A88" s="145"/>
      <c r="B88" s="102"/>
      <c r="C88" s="94"/>
      <c r="D88" s="94"/>
      <c r="E88" s="94"/>
      <c r="F88" s="98"/>
      <c r="G88" s="98"/>
      <c r="H88" s="98"/>
      <c r="I88" s="98"/>
      <c r="J88" s="98"/>
      <c r="T88" s="98"/>
    </row>
    <row r="89" spans="1:20" ht="12.75">
      <c r="A89" s="145" t="s">
        <v>690</v>
      </c>
      <c r="B89" s="102"/>
      <c r="C89" s="94"/>
      <c r="D89" s="94"/>
      <c r="E89" s="94"/>
      <c r="F89" s="98"/>
      <c r="G89" s="98"/>
      <c r="H89" s="98"/>
      <c r="I89" s="98"/>
      <c r="J89" s="98"/>
      <c r="T89" s="98"/>
    </row>
    <row r="90" spans="1:20" ht="12.75">
      <c r="A90" s="46" t="s">
        <v>151</v>
      </c>
      <c r="B90" s="335"/>
      <c r="C90" s="94"/>
      <c r="D90" s="96">
        <f>Data!C$40</f>
        <v>9.269</v>
      </c>
      <c r="E90" s="96">
        <f>Data!D$40</f>
        <v>9.551</v>
      </c>
      <c r="F90" s="175">
        <f ca="1">Data!E$40*IF($F$1="Yes",OFFSET(ReadyReckoner!$A$45,0,F$247)*OFFSET(ReadyReckoner!$A$48,0,F$247),1)+IF(OFFSET(Scenarios!$A$55,0,$C$1)="Yes",OFFSET(Scenarios!$A$57,0,$C$1)*F$110,0)</f>
        <v>10.964</v>
      </c>
      <c r="G90" s="175">
        <f ca="1">Data!F$40*IF($F$1="Yes",OFFSET(ReadyReckoner!$A$45,0,G$247)*OFFSET(ReadyReckoner!$A$48,0,G$247),1)+IF(OFFSET(Scenarios!$A$55,0,$C$1)="Yes",OFFSET(Scenarios!$A$57,0,$C$1)*G$110,0)</f>
        <v>11.284</v>
      </c>
      <c r="H90" s="175">
        <f ca="1">Data!G$40*IF($F$1="Yes",OFFSET(ReadyReckoner!$A$45,0,H$247)*OFFSET(ReadyReckoner!$A$48,0,H$247),1)+IF(OFFSET(Scenarios!$A$55,0,$C$1)="Yes",OFFSET(Scenarios!$A$57,0,$C$1)*H$110,0)</f>
        <v>11.304</v>
      </c>
      <c r="I90" s="175">
        <f ca="1">Data!H$40*IF($F$1="Yes",OFFSET(ReadyReckoner!$A$45,0,I$247)*OFFSET(ReadyReckoner!$A$48,0,I$247),1)+IF(OFFSET(Scenarios!$A$55,0,$C$1)="Yes",OFFSET(Scenarios!$A$57,0,$C$1)*I$110,0)</f>
        <v>11.311</v>
      </c>
      <c r="J90" s="175">
        <f ca="1">Data!I$40*IF($F$1="Yes",OFFSET(ReadyReckoner!$A$45,0,J$247)*OFFSET(ReadyReckoner!$A$48,0,J$247),1)+IF(OFFSET(Scenarios!$A$55,0,$C$1)="Yes",OFFSET(Scenarios!$A$57,0,$C$1)*J$110,0)</f>
        <v>11.332</v>
      </c>
      <c r="K90" s="100">
        <f ca="1">J$90*(1+AVERAGE(Popn!K$198:K$200))+IF(OFFSET(Scenarios!$A$55,0,$C$1)="Yes",(K$110-J$110*(1+AVERAGE(Popn!K$198:K$200)))*OFFSET(Scenarios!$A$57,0,$C$1),0)</f>
        <v>11.321034118463695</v>
      </c>
      <c r="L90" s="100">
        <f ca="1">K$90*(1+AVERAGE(Popn!L$198:L$200))+IF(OFFSET(Scenarios!$A$55,0,$C$1)="Yes",(L$110-K$110*(1+AVERAGE(Popn!L$198:L$200)))*OFFSET(Scenarios!$A$57,0,$C$1),0)</f>
        <v>11.282661433265156</v>
      </c>
      <c r="M90" s="100">
        <f ca="1">L$90*(1+AVERAGE(Popn!M$198:M$200))+IF(OFFSET(Scenarios!$A$55,0,$C$1)="Yes",(M$110-L$110*(1+AVERAGE(Popn!M$198:M$200)))*OFFSET(Scenarios!$A$57,0,$C$1),0)</f>
        <v>11.23034267973935</v>
      </c>
      <c r="N90" s="100">
        <f ca="1">M$90*(1+AVERAGE(Popn!N$198:N$200))+IF(OFFSET(Scenarios!$A$55,0,$C$1)="Yes",(N$110-M$110*(1+AVERAGE(Popn!N$198:N$200)))*OFFSET(Scenarios!$A$57,0,$C$1),0)</f>
        <v>11.189916569592693</v>
      </c>
      <c r="O90" s="100">
        <f ca="1">N$90*(1+AVERAGE(Popn!O$198:O$200))+IF(OFFSET(Scenarios!$A$55,0,$C$1)="Yes",(O$110-N$110*(1+AVERAGE(Popn!O$198:O$200)))*OFFSET(Scenarios!$A$57,0,$C$1),0)</f>
        <v>11.163407520166935</v>
      </c>
      <c r="P90" s="100">
        <f ca="1">O$90*(1+AVERAGE(Popn!P$198:P$200))+IF(OFFSET(Scenarios!$A$55,0,$C$1)="Yes",(P$110-O$110*(1+AVERAGE(Popn!P$198:P$200)))*OFFSET(Scenarios!$A$57,0,$C$1),0)</f>
        <v>11.1438441757164</v>
      </c>
      <c r="Q90" s="100">
        <f ca="1">P$90*(1+AVERAGE(Popn!Q$198:Q$200))+IF(OFFSET(Scenarios!$A$55,0,$C$1)="Yes",(Q$110-P$110*(1+AVERAGE(Popn!Q$198:Q$200)))*OFFSET(Scenarios!$A$57,0,$C$1),0)</f>
        <v>11.116129748585767</v>
      </c>
      <c r="R90" s="100">
        <f ca="1">Q$90*(1+AVERAGE(Popn!R$198:R$200))+IF(OFFSET(Scenarios!$A$55,0,$C$1)="Yes",(R$110-Q$110*(1+AVERAGE(Popn!R$198:R$200)))*OFFSET(Scenarios!$A$57,0,$C$1),0)</f>
        <v>11.098647766931556</v>
      </c>
      <c r="S90" s="100">
        <f ca="1">R$90*(1+AVERAGE(Popn!S$198:S$200))+IF(OFFSET(Scenarios!$A$55,0,$C$1)="Yes",(S$110-R$110*(1+AVERAGE(Popn!S$198:S$200)))*OFFSET(Scenarios!$A$57,0,$C$1),0)</f>
        <v>11.101966408790826</v>
      </c>
      <c r="T90" s="100">
        <f ca="1">S$90*(1+AVERAGE(Popn!T$198:T$200))+IF(OFFSET(Scenarios!$A$55,0,$C$1)="Yes",(T$110-S$110*(1+AVERAGE(Popn!T$198:T$200)))*OFFSET(Scenarios!$A$57,0,$C$1),0)</f>
        <v>11.10323199379076</v>
      </c>
    </row>
    <row r="91" spans="1:20" ht="12.75">
      <c r="A91" s="46" t="s">
        <v>152</v>
      </c>
      <c r="B91" s="335"/>
      <c r="C91" s="94"/>
      <c r="D91" s="96">
        <f>Data!C$22</f>
        <v>9.853</v>
      </c>
      <c r="E91" s="96">
        <f>Data!D$22</f>
        <v>10.397</v>
      </c>
      <c r="F91" s="175">
        <f ca="1">Data!E$22+IF($F$1="Yes",Data!E$40*(OFFSET(ReadyReckoner!$A$45,0,F$247)*OFFSET(ReadyReckoner!$A$48,0,F$247)-1),0)+IF(OFFSET(Scenarios!$A$55,0,$C$1)="Yes",OFFSET(Scenarios!$A$57,0,$C$1)*F$110,0)</f>
        <v>11.844</v>
      </c>
      <c r="G91" s="175">
        <f ca="1">Data!F$22+IF($F$1="Yes",Data!F$40*(OFFSET(ReadyReckoner!$A$45,0,G$247)*OFFSET(ReadyReckoner!$A$48,0,G$247)-1),0)+IF(OFFSET(Scenarios!$A$55,0,$C$1)="Yes",OFFSET(Scenarios!$A$57,0,$C$1)*G$110,0)</f>
        <v>12.147</v>
      </c>
      <c r="H91" s="175">
        <f ca="1">Data!G$22+IF($F$1="Yes",Data!G$40*(OFFSET(ReadyReckoner!$A$45,0,H$247)*OFFSET(ReadyReckoner!$A$48,0,H$247)-1),0)+IF(OFFSET(Scenarios!$A$55,0,$C$1)="Yes",OFFSET(Scenarios!$A$57,0,$C$1)*H$110,0)</f>
        <v>12.198</v>
      </c>
      <c r="I91" s="175">
        <f ca="1">Data!H$22+IF($F$1="Yes",Data!H$40*(OFFSET(ReadyReckoner!$A$45,0,I$247)*OFFSET(ReadyReckoner!$A$48,0,I$247)-1),0)+IF(OFFSET(Scenarios!$A$55,0,$C$1)="Yes",OFFSET(Scenarios!$A$57,0,$C$1)*I$110,0)</f>
        <v>12.237</v>
      </c>
      <c r="J91" s="175">
        <f ca="1">Data!I$22+IF($F$1="Yes",Data!I$40*(OFFSET(ReadyReckoner!$A$45,0,J$247)*OFFSET(ReadyReckoner!$A$48,0,J$247)-1),0)+IF(OFFSET(Scenarios!$A$55,0,$C$1)="Yes",OFFSET(Scenarios!$A$57,0,$C$1)*J$110,0)</f>
        <v>12.29</v>
      </c>
      <c r="K91" s="100">
        <f>SUM(K$90,(J$91-J$90)*(1+AVERAGE(Popn!K$198:K$200)))</f>
        <v>12.27810706988341</v>
      </c>
      <c r="L91" s="100">
        <f>SUM(L$90,(K$91-K$90)*(1+AVERAGE(Popn!L$198:L$200)))</f>
        <v>12.236490382529894</v>
      </c>
      <c r="M91" s="100">
        <f>SUM(M$90,(L$91-L$90)*(1+AVERAGE(Popn!M$198:M$200)))</f>
        <v>12.179748635192075</v>
      </c>
      <c r="N91" s="100">
        <f>SUM(N$90,(M$91-M$90)*(1+AVERAGE(Popn!N$198:N$200)))</f>
        <v>12.135904927664507</v>
      </c>
      <c r="O91" s="100">
        <f>SUM(O$90,(N$91-N$90)*(1+AVERAGE(Popn!O$198:O$200)))</f>
        <v>12.107154820230464</v>
      </c>
      <c r="P91" s="100">
        <f>SUM(P$90,(O$91-O$90)*(1+AVERAGE(Popn!P$198:P$200)))</f>
        <v>12.085937603208132</v>
      </c>
      <c r="Q91" s="100">
        <f>SUM(Q$90,(P$91-P$90)*(1+AVERAGE(Popn!Q$198:Q$200)))</f>
        <v>12.055880216212413</v>
      </c>
      <c r="R91" s="100">
        <f>SUM(R$90,(Q$91-Q$90)*(1+AVERAGE(Popn!R$198:R$200)))</f>
        <v>12.03692031906008</v>
      </c>
      <c r="S91" s="100">
        <f>SUM(S$90,(R$91-R$90)*(1+AVERAGE(Popn!S$198:S$200)))</f>
        <v>12.040519516770143</v>
      </c>
      <c r="T91" s="100">
        <f>SUM(T$90,(S$91-S$90)*(1+AVERAGE(Popn!T$198:T$200)))</f>
        <v>12.041892093512924</v>
      </c>
    </row>
    <row r="92" spans="1:20" ht="12.75">
      <c r="A92" s="46"/>
      <c r="B92" s="137"/>
      <c r="C92" s="94"/>
      <c r="D92" s="136"/>
      <c r="E92" s="136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</row>
    <row r="93" spans="1:20" ht="12.75">
      <c r="A93" s="145" t="s">
        <v>691</v>
      </c>
      <c r="C93" s="94"/>
      <c r="D93" s="94"/>
      <c r="E93" s="94"/>
      <c r="F93" s="98"/>
      <c r="G93" s="98"/>
      <c r="H93" s="98"/>
      <c r="I93" s="98"/>
      <c r="J93" s="98"/>
      <c r="T93" s="98"/>
    </row>
    <row r="94" spans="1:20" ht="12.75">
      <c r="A94" s="50" t="s">
        <v>394</v>
      </c>
      <c r="B94" s="335"/>
      <c r="C94" s="94"/>
      <c r="D94" s="94">
        <f>Data!C$38</f>
        <v>0.645</v>
      </c>
      <c r="E94" s="94">
        <f>Data!D$38</f>
        <v>0.69</v>
      </c>
      <c r="F94" s="169">
        <f>Data!E$38</f>
        <v>0.68</v>
      </c>
      <c r="G94" s="169">
        <f>Data!F$38</f>
        <v>0.37</v>
      </c>
      <c r="H94" s="169">
        <f>Data!G$38</f>
        <v>0.39</v>
      </c>
      <c r="I94" s="169">
        <f>Data!H$38</f>
        <v>0.437</v>
      </c>
      <c r="J94" s="169">
        <f>Data!I$38</f>
        <v>0.494</v>
      </c>
      <c r="K94" s="98">
        <f>J$94*Tracks!N$15/Tracks!M$15</f>
        <v>0.4909358491212022</v>
      </c>
      <c r="L94" s="98">
        <f>K$94*Tracks!O$15/Tracks!N$15</f>
        <v>0.4913052611827582</v>
      </c>
      <c r="M94" s="98">
        <f>L$94*Tracks!P$15/Tracks!O$15</f>
        <v>0.4936326769123068</v>
      </c>
      <c r="N94" s="98">
        <f>M$94*Tracks!Q$15/Tracks!P$15</f>
        <v>0.4950393502334878</v>
      </c>
      <c r="O94" s="98">
        <f>N$94*Tracks!R$15/Tracks!Q$15</f>
        <v>0.4955957378226161</v>
      </c>
      <c r="P94" s="98">
        <f>O$94*Tracks!S$15/Tracks!R$15</f>
        <v>0.49566970636963675</v>
      </c>
      <c r="Q94" s="98">
        <f>P$94*Tracks!T$15/Tracks!S$15</f>
        <v>0.49573597753113946</v>
      </c>
      <c r="R94" s="98">
        <f>Q$94*Tracks!U$15/Tracks!T$15</f>
        <v>0.49339138751502304</v>
      </c>
      <c r="S94" s="98">
        <f>R$94*Tracks!V$15/Tracks!U$15</f>
        <v>0.4896720732559272</v>
      </c>
      <c r="T94" s="98">
        <f>S$94*Tracks!W$15/Tracks!V$15</f>
        <v>0.48506112251752903</v>
      </c>
    </row>
    <row r="95" spans="1:20" ht="12.75">
      <c r="A95" s="50" t="s">
        <v>181</v>
      </c>
      <c r="B95" s="335"/>
      <c r="C95" s="94"/>
      <c r="D95" s="94">
        <f>Data!C$140</f>
        <v>0</v>
      </c>
      <c r="E95" s="94">
        <f>Data!D$140</f>
        <v>1.102</v>
      </c>
      <c r="F95" s="408">
        <f>Data!E$140</f>
        <v>1.42</v>
      </c>
      <c r="G95" s="408">
        <f>Data!F$140</f>
        <v>0.919</v>
      </c>
      <c r="H95" s="408">
        <f>Data!G$140</f>
        <v>0.94</v>
      </c>
      <c r="I95" s="408">
        <f>Data!H$140</f>
        <v>0.956</v>
      </c>
      <c r="J95" s="408">
        <f>Data!I$140</f>
        <v>0.982</v>
      </c>
      <c r="K95" s="98">
        <f>Tracks!H$107/1000</f>
        <v>0.986</v>
      </c>
      <c r="L95" s="98">
        <f>Tracks!I$107/1000</f>
        <v>0.998</v>
      </c>
      <c r="M95" s="98">
        <f>Tracks!J$107/1000</f>
        <v>1.015</v>
      </c>
      <c r="N95" s="98">
        <f>Tracks!K$107/1000</f>
        <v>1.023</v>
      </c>
      <c r="O95" s="98">
        <f>Tracks!L$107/1000</f>
        <v>1.036</v>
      </c>
      <c r="P95" s="98">
        <f>Tracks!M$107/1000</f>
        <v>1.05</v>
      </c>
      <c r="Q95" s="135">
        <f>P$95*(1+Popn!Q$197)</f>
        <v>1.058103844159692</v>
      </c>
      <c r="R95" s="98">
        <f>Q$95*(1+Popn!R$197)</f>
        <v>1.066018813421228</v>
      </c>
      <c r="S95" s="98">
        <f>R$95*(1+Popn!S$197)</f>
        <v>1.0738382342048738</v>
      </c>
      <c r="T95" s="98">
        <f>S$95*(1+Popn!T$197)</f>
        <v>1.0814421153988594</v>
      </c>
    </row>
    <row r="96" spans="1:20" ht="12.75">
      <c r="A96" s="226" t="s">
        <v>755</v>
      </c>
      <c r="B96" s="94"/>
      <c r="C96" s="94"/>
      <c r="D96" s="94">
        <f>D$178</f>
        <v>0</v>
      </c>
      <c r="E96" s="94">
        <f aca="true" t="shared" si="47" ref="E96:T96">E$178</f>
        <v>0</v>
      </c>
      <c r="F96" s="169">
        <f t="shared" si="47"/>
        <v>0.023</v>
      </c>
      <c r="G96" s="169">
        <f t="shared" si="47"/>
        <v>0.471</v>
      </c>
      <c r="H96" s="169">
        <f t="shared" si="47"/>
        <v>0.744</v>
      </c>
      <c r="I96" s="169">
        <f t="shared" si="47"/>
        <v>0.636</v>
      </c>
      <c r="J96" s="169">
        <f t="shared" si="47"/>
        <v>1.684</v>
      </c>
      <c r="K96" s="98">
        <f t="shared" si="47"/>
        <v>1.35</v>
      </c>
      <c r="L96" s="98">
        <f t="shared" si="47"/>
        <v>1.35</v>
      </c>
      <c r="M96" s="98">
        <f t="shared" si="47"/>
        <v>1.35</v>
      </c>
      <c r="N96" s="98">
        <f t="shared" si="47"/>
        <v>1.35</v>
      </c>
      <c r="O96" s="98">
        <f t="shared" si="47"/>
        <v>1.35</v>
      </c>
      <c r="P96" s="98">
        <f t="shared" si="47"/>
        <v>1.2479166666666666</v>
      </c>
      <c r="Q96" s="98">
        <f t="shared" si="47"/>
        <v>1.1458333333333335</v>
      </c>
      <c r="R96" s="98">
        <f t="shared" si="47"/>
        <v>1.04375</v>
      </c>
      <c r="S96" s="98">
        <f t="shared" si="47"/>
        <v>0.9416666666666667</v>
      </c>
      <c r="T96" s="98">
        <f t="shared" si="47"/>
        <v>0.8395833333333333</v>
      </c>
    </row>
    <row r="97" spans="1:20" ht="12.75">
      <c r="A97" s="226" t="s">
        <v>802</v>
      </c>
      <c r="B97" s="94"/>
      <c r="C97" s="94"/>
      <c r="D97" s="94">
        <f>D$138</f>
        <v>0.119</v>
      </c>
      <c r="E97" s="94">
        <f aca="true" t="shared" si="48" ref="E97:T97">E$138</f>
        <v>0.097</v>
      </c>
      <c r="F97" s="169">
        <f t="shared" si="48"/>
        <v>0.103</v>
      </c>
      <c r="G97" s="169">
        <f t="shared" si="48"/>
        <v>0.111</v>
      </c>
      <c r="H97" s="169">
        <f t="shared" si="48"/>
        <v>0.115</v>
      </c>
      <c r="I97" s="169">
        <f t="shared" si="48"/>
        <v>0.125</v>
      </c>
      <c r="J97" s="169">
        <f t="shared" si="48"/>
        <v>0.136</v>
      </c>
      <c r="K97" s="98">
        <f t="shared" si="48"/>
        <v>0.11641354042553193</v>
      </c>
      <c r="L97" s="98">
        <f t="shared" si="48"/>
        <v>0.12406656657310641</v>
      </c>
      <c r="M97" s="98">
        <f t="shared" si="48"/>
        <v>0.1322227026596224</v>
      </c>
      <c r="N97" s="98">
        <f t="shared" si="48"/>
        <v>0.14091502313246598</v>
      </c>
      <c r="O97" s="98">
        <f t="shared" si="48"/>
        <v>0.15017877675319433</v>
      </c>
      <c r="P97" s="98">
        <f t="shared" si="48"/>
        <v>0.16005152953694932</v>
      </c>
      <c r="Q97" s="98">
        <f t="shared" si="48"/>
        <v>0.17057331708870835</v>
      </c>
      <c r="R97" s="98">
        <f t="shared" si="48"/>
        <v>0.19005820756433556</v>
      </c>
      <c r="S97" s="98">
        <f t="shared" si="48"/>
        <v>0.2196024361619541</v>
      </c>
      <c r="T97" s="98">
        <f t="shared" si="48"/>
        <v>0.25033387511563365</v>
      </c>
    </row>
    <row r="98" spans="1:20" ht="12.75">
      <c r="A98" s="93" t="s">
        <v>420</v>
      </c>
      <c r="B98" s="335"/>
      <c r="C98" s="94"/>
      <c r="D98" s="94">
        <f>Data!C$42</f>
        <v>2.699</v>
      </c>
      <c r="E98" s="94">
        <f>Data!D$42</f>
        <v>2.894</v>
      </c>
      <c r="F98" s="169">
        <f ca="1">Data!E$42*IF($F$1="Yes",OFFSET(ReadyReckoner!$A$45,0,F$247)*OFFSET(ReadyReckoner!$A$48,0,F$247),1)+IF(OFFSET(Scenarios!$A$55,0,$C$1)="Yes",OFFSET(Scenarios!$A$58,0,$C$1)*F$110,0)</f>
        <v>3.116</v>
      </c>
      <c r="G98" s="169">
        <f ca="1">Data!F$42*IF($F$1="Yes",OFFSET(ReadyReckoner!$A$45,0,G$247)*OFFSET(ReadyReckoner!$A$48,0,G$247),1)+IF(OFFSET(Scenarios!$A$55,0,$C$1)="Yes",OFFSET(Scenarios!$A$58,0,$C$1)*G$110,0)</f>
        <v>3.267</v>
      </c>
      <c r="H98" s="169">
        <f ca="1">Data!G$42*IF($F$1="Yes",OFFSET(ReadyReckoner!$A$45,0,H$247)*OFFSET(ReadyReckoner!$A$48,0,H$247),1)+IF(OFFSET(Scenarios!$A$55,0,$C$1)="Yes",OFFSET(Scenarios!$A$58,0,$C$1)*H$110,0)</f>
        <v>3.302</v>
      </c>
      <c r="I98" s="169">
        <f ca="1">Data!H$42*IF($F$1="Yes",OFFSET(ReadyReckoner!$A$45,0,I$247)*OFFSET(ReadyReckoner!$A$48,0,I$247),1)+IF(OFFSET(Scenarios!$A$55,0,$C$1)="Yes",OFFSET(Scenarios!$A$58,0,$C$1)*I$110,0)</f>
        <v>3.302</v>
      </c>
      <c r="J98" s="169">
        <f ca="1">Data!I$42*IF($F$1="Yes",OFFSET(ReadyReckoner!$A$45,0,J$247)*OFFSET(ReadyReckoner!$A$48,0,J$247),1)+IF(OFFSET(Scenarios!$A$55,0,$C$1)="Yes",OFFSET(Scenarios!$A$58,0,$C$1)*J$110,0)</f>
        <v>3.319</v>
      </c>
      <c r="K98" s="98">
        <f ca="1">J$98*(1+K$209)+IF(OFFSET(Scenarios!$A$55,0,$C$1)="Yes",(K$110-J$110*(1+K$209))*OFFSET(Scenarios!$A$58,0,$C$1),0)</f>
        <v>3.3521439898713234</v>
      </c>
      <c r="L98" s="98">
        <f ca="1">K$98*(1+L$209)+IF(OFFSET(Scenarios!$A$55,0,$C$1)="Yes",(L$110-K$110*(1+L$209))*OFFSET(Scenarios!$A$58,0,$C$1),0)</f>
        <v>3.3867536249706536</v>
      </c>
      <c r="M98" s="98">
        <f ca="1">L$98*(1+M$209)+IF(OFFSET(Scenarios!$A$55,0,$C$1)="Yes",(M$110-L$110*(1+M$209))*OFFSET(Scenarios!$A$58,0,$C$1),0)</f>
        <v>3.4199996534338006</v>
      </c>
      <c r="N98" s="98">
        <f ca="1">M$98*(1+N$209)+IF(OFFSET(Scenarios!$A$55,0,$C$1)="Yes",(N$110-M$110*(1+N$209))*OFFSET(Scenarios!$A$58,0,$C$1),0)</f>
        <v>3.4508802418137714</v>
      </c>
      <c r="O98" s="98">
        <f ca="1">N$98*(1+O$209)+IF(OFFSET(Scenarios!$A$55,0,$C$1)="Yes",(O$110-N$110*(1+O$209))*OFFSET(Scenarios!$A$58,0,$C$1),0)</f>
        <v>3.481983459848629</v>
      </c>
      <c r="P98" s="98">
        <f ca="1">O$98*(1+P$209)+IF(OFFSET(Scenarios!$A$55,0,$C$1)="Yes",(P$110-O$110*(1+P$209))*OFFSET(Scenarios!$A$58,0,$C$1),0)</f>
        <v>3.5141627212154414</v>
      </c>
      <c r="Q98" s="98">
        <f ca="1">P$98*(1+Q$209)+IF(OFFSET(Scenarios!$A$55,0,$C$1)="Yes",(Q$110-P$110*(1+Q$209))*OFFSET(Scenarios!$A$58,0,$C$1),0)</f>
        <v>3.5457390272669342</v>
      </c>
      <c r="R98" s="98">
        <f ca="1">Q$98*(1+R$209)+IF(OFFSET(Scenarios!$A$55,0,$C$1)="Yes",(R$110-Q$110*(1+R$209))*OFFSET(Scenarios!$A$58,0,$C$1),0)</f>
        <v>3.5782058519379762</v>
      </c>
      <c r="S98" s="98">
        <f ca="1">R$98*(1+S$209)+IF(OFFSET(Scenarios!$A$55,0,$C$1)="Yes",(S$110-R$110*(1+S$209))*OFFSET(Scenarios!$A$58,0,$C$1),0)</f>
        <v>3.613028840456573</v>
      </c>
      <c r="T98" s="98">
        <f ca="1">S$98*(1+T$209)+IF(OFFSET(Scenarios!$A$55,0,$C$1)="Yes",(T$110-S$110*(1+T$209))*OFFSET(Scenarios!$A$58,0,$C$1),0)</f>
        <v>3.649502998915583</v>
      </c>
    </row>
    <row r="99" spans="1:20" ht="12.75">
      <c r="A99" s="93" t="s">
        <v>521</v>
      </c>
      <c r="B99" s="335"/>
      <c r="C99" s="94"/>
      <c r="D99" s="94">
        <f>Data!C$43</f>
        <v>1.517</v>
      </c>
      <c r="E99" s="94">
        <f>Data!D$43</f>
        <v>1.562</v>
      </c>
      <c r="F99" s="169">
        <f ca="1">Data!E$43*IF($F$1="Yes",OFFSET(ReadyReckoner!$A$45,0,F$247)*OFFSET(ReadyReckoner!$A$48,0,F$247),1)+IF(OFFSET(Scenarios!$A$55,0,$C$1)="Yes",OFFSET(Scenarios!$A$59,0,$C$1)*F$110,0)</f>
        <v>1.735</v>
      </c>
      <c r="G99" s="169">
        <f ca="1">Data!F$43*IF($F$1="Yes",OFFSET(ReadyReckoner!$A$45,0,G$247)*OFFSET(ReadyReckoner!$A$48,0,G$247),1)+IF(OFFSET(Scenarios!$A$55,0,$C$1)="Yes",OFFSET(Scenarios!$A$59,0,$C$1)*G$110,0)</f>
        <v>1.81</v>
      </c>
      <c r="H99" s="169">
        <f ca="1">Data!G$43*IF($F$1="Yes",OFFSET(ReadyReckoner!$A$45,0,H$247)*OFFSET(ReadyReckoner!$A$48,0,H$247),1)+IF(OFFSET(Scenarios!$A$55,0,$C$1)="Yes",OFFSET(Scenarios!$A$59,0,$C$1)*H$110,0)</f>
        <v>1.807</v>
      </c>
      <c r="I99" s="169">
        <f ca="1">Data!H$43*IF($F$1="Yes",OFFSET(ReadyReckoner!$A$45,0,I$247)*OFFSET(ReadyReckoner!$A$48,0,I$247),1)+IF(OFFSET(Scenarios!$A$55,0,$C$1)="Yes",OFFSET(Scenarios!$A$59,0,$C$1)*I$110,0)</f>
        <v>1.797</v>
      </c>
      <c r="J99" s="169">
        <f ca="1">Data!I$43*IF($F$1="Yes",OFFSET(ReadyReckoner!$A$45,0,J$247)*OFFSET(ReadyReckoner!$A$48,0,J$247),1)+IF(OFFSET(Scenarios!$A$55,0,$C$1)="Yes",OFFSET(Scenarios!$A$59,0,$C$1)*J$110,0)</f>
        <v>1.796</v>
      </c>
      <c r="K99" s="98">
        <f ca="1">J$99*(1+K$209)+IF(OFFSET(Scenarios!$A$55,0,$C$1)="Yes",(K$110-J$110*(1+K$209))*OFFSET(Scenarios!$A$59,0,$C$1),0)</f>
        <v>1.8139351026842112</v>
      </c>
      <c r="L99" s="98">
        <f ca="1">K$99*(1+L$209)+IF(OFFSET(Scenarios!$A$55,0,$C$1)="Yes",(L$110-K$110*(1+L$209))*OFFSET(Scenarios!$A$59,0,$C$1),0)</f>
        <v>1.832663305347181</v>
      </c>
      <c r="M99" s="98">
        <f ca="1">L$99*(1+M$209)+IF(OFFSET(Scenarios!$A$55,0,$C$1)="Yes",(M$110-L$110*(1+M$209))*OFFSET(Scenarios!$A$59,0,$C$1),0)</f>
        <v>1.8506536238526983</v>
      </c>
      <c r="N99" s="98">
        <f ca="1">M$99*(1+N$209)+IF(OFFSET(Scenarios!$A$55,0,$C$1)="Yes",(N$110-M$110*(1+N$209))*OFFSET(Scenarios!$A$59,0,$C$1),0)</f>
        <v>1.86736393922794</v>
      </c>
      <c r="O99" s="98">
        <f ca="1">N$99*(1+O$209)+IF(OFFSET(Scenarios!$A$55,0,$C$1)="Yes",(O$110-N$110*(1+O$209))*OFFSET(Scenarios!$A$59,0,$C$1),0)</f>
        <v>1.884194725486031</v>
      </c>
      <c r="P99" s="98">
        <f ca="1">O$99*(1+P$209)+IF(OFFSET(Scenarios!$A$55,0,$C$1)="Yes",(P$110-O$110*(1+P$209))*OFFSET(Scenarios!$A$59,0,$C$1),0)</f>
        <v>1.9016077876778945</v>
      </c>
      <c r="Q99" s="98">
        <f ca="1">P$99*(1+Q$209)+IF(OFFSET(Scenarios!$A$55,0,$C$1)="Yes",(Q$110-P$110*(1+Q$209))*OFFSET(Scenarios!$A$59,0,$C$1),0)</f>
        <v>1.9186945745620407</v>
      </c>
      <c r="R99" s="98">
        <f ca="1">Q$99*(1+R$209)+IF(OFFSET(Scenarios!$A$55,0,$C$1)="Yes",(R$110-Q$110*(1+R$209))*OFFSET(Scenarios!$A$59,0,$C$1),0)</f>
        <v>1.936263244977585</v>
      </c>
      <c r="S99" s="98">
        <f ca="1">R$99*(1+S$209)+IF(OFFSET(Scenarios!$A$55,0,$C$1)="Yes",(S$110-R$110*(1+S$209))*OFFSET(Scenarios!$A$59,0,$C$1),0)</f>
        <v>1.9551068989032856</v>
      </c>
      <c r="T99" s="98">
        <f ca="1">S$99*(1+T$209)+IF(OFFSET(Scenarios!$A$55,0,$C$1)="Yes",(T$110-S$110*(1+T$209))*OFFSET(Scenarios!$A$59,0,$C$1),0)</f>
        <v>1.9748440452101197</v>
      </c>
    </row>
    <row r="100" spans="1:20" ht="12.75">
      <c r="A100" s="93" t="s">
        <v>414</v>
      </c>
      <c r="B100" s="335"/>
      <c r="C100" s="94"/>
      <c r="D100" s="94">
        <f>Data!C$44</f>
        <v>2.405</v>
      </c>
      <c r="E100" s="94">
        <f>Data!D$44</f>
        <v>2.244</v>
      </c>
      <c r="F100" s="169">
        <f ca="1">Data!E$44*IF($F$1="Yes",OFFSET(ReadyReckoner!$A$45,0,F$247)*OFFSET(ReadyReckoner!$A$48,0,F$247),1)+IF(OFFSET(Scenarios!$A$55,0,$C$1)="Yes",OFFSET(Scenarios!$A$60,0,$C$1)*F$110,0)</f>
        <v>2.954</v>
      </c>
      <c r="G100" s="169">
        <f ca="1">Data!F$44*IF($F$1="Yes",OFFSET(ReadyReckoner!$A$45,0,G$247)*OFFSET(ReadyReckoner!$A$48,0,G$247),1)+IF(OFFSET(Scenarios!$A$55,0,$C$1)="Yes",OFFSET(Scenarios!$A$60,0,$C$1)*G$110,0)</f>
        <v>2.253</v>
      </c>
      <c r="H100" s="169">
        <f ca="1">Data!G$44*IF($F$1="Yes",OFFSET(ReadyReckoner!$A$45,0,H$247)*OFFSET(ReadyReckoner!$A$48,0,H$247),1)+IF(OFFSET(Scenarios!$A$55,0,$C$1)="Yes",OFFSET(Scenarios!$A$60,0,$C$1)*H$110,0)</f>
        <v>1.864</v>
      </c>
      <c r="I100" s="169">
        <f ca="1">Data!H$44*IF($F$1="Yes",OFFSET(ReadyReckoner!$A$45,0,I$247)*OFFSET(ReadyReckoner!$A$48,0,I$247),1)+IF(OFFSET(Scenarios!$A$55,0,$C$1)="Yes",OFFSET(Scenarios!$A$60,0,$C$1)*I$110,0)</f>
        <v>1.74</v>
      </c>
      <c r="J100" s="169">
        <f ca="1">Data!I$44*IF($F$1="Yes",OFFSET(ReadyReckoner!$A$45,0,J$247)*OFFSET(ReadyReckoner!$A$48,0,J$247),1)+IF(OFFSET(Scenarios!$A$55,0,$C$1)="Yes",OFFSET(Scenarios!$A$60,0,$C$1)*J$110,0)</f>
        <v>1.615</v>
      </c>
      <c r="K100" s="98">
        <f ca="1">J$100*(1+K$209)+IF(OFFSET(Scenarios!$A$55,0,$C$1)="Yes",(K$110-J$110*(1+K$209))*OFFSET(Scenarios!$A$60,0,$C$1),0)</f>
        <v>1.6311276118234972</v>
      </c>
      <c r="L100" s="98">
        <f ca="1">K$100*(1+L$209)+IF(OFFSET(Scenarios!$A$55,0,$C$1)="Yes",(L$110-K$110*(1+L$209))*OFFSET(Scenarios!$A$60,0,$C$1),0)</f>
        <v>1.6479683953984952</v>
      </c>
      <c r="M100" s="98">
        <f ca="1">L$100*(1+M$209)+IF(OFFSET(Scenarios!$A$55,0,$C$1)="Yes",(M$110-L$110*(1+M$209))*OFFSET(Scenarios!$A$60,0,$C$1),0)</f>
        <v>1.6641456584198817</v>
      </c>
      <c r="N100" s="98">
        <f ca="1">M$100*(1+N$209)+IF(OFFSET(Scenarios!$A$55,0,$C$1)="Yes",(N$110-M$110*(1+N$209))*OFFSET(Scenarios!$A$60,0,$C$1),0)</f>
        <v>1.679171916399289</v>
      </c>
      <c r="O100" s="98">
        <f ca="1">N$100*(1+O$209)+IF(OFFSET(Scenarios!$A$55,0,$C$1)="Yes",(O$110-N$110*(1+O$209))*OFFSET(Scenarios!$A$60,0,$C$1),0)</f>
        <v>1.694306504265</v>
      </c>
      <c r="P100" s="98">
        <f ca="1">O$100*(1+P$209)+IF(OFFSET(Scenarios!$A$55,0,$C$1)="Yes",(P$110-O$110*(1+P$209))*OFFSET(Scenarios!$A$60,0,$C$1),0)</f>
        <v>1.7099646865811804</v>
      </c>
      <c r="Q100" s="98">
        <f ca="1">P$100*(1+Q$209)+IF(OFFSET(Scenarios!$A$55,0,$C$1)="Yes",(Q$110-P$110*(1+Q$209))*OFFSET(Scenarios!$A$60,0,$C$1),0)</f>
        <v>1.7253294754552875</v>
      </c>
      <c r="R100" s="98">
        <f ca="1">Q$100*(1+R$209)+IF(OFFSET(Scenarios!$A$55,0,$C$1)="Yes",(R$110-Q$110*(1+R$209))*OFFSET(Scenarios!$A$60,0,$C$1),0)</f>
        <v>1.7411275838746103</v>
      </c>
      <c r="S100" s="98">
        <f ca="1">R$100*(1+S$209)+IF(OFFSET(Scenarios!$A$55,0,$C$1)="Yes",(S$110-R$110*(1+S$209))*OFFSET(Scenarios!$A$60,0,$C$1),0)</f>
        <v>1.7580721835906494</v>
      </c>
      <c r="T100" s="98">
        <f ca="1">S$100*(1+T$209)+IF(OFFSET(Scenarios!$A$55,0,$C$1)="Yes",(T$110-S$110*(1+T$209))*OFFSET(Scenarios!$A$60,0,$C$1),0)</f>
        <v>1.775820229963443</v>
      </c>
    </row>
    <row r="101" spans="1:20" ht="12.75">
      <c r="A101" s="226" t="s">
        <v>763</v>
      </c>
      <c r="B101" s="335"/>
      <c r="C101" s="94"/>
      <c r="D101" s="243">
        <f>SUM(Data!C$41,Data!C$45:C$49,Data!C$52)-SUM(D$95,D$96,D$97)</f>
        <v>7.897</v>
      </c>
      <c r="E101" s="243">
        <f>SUM(Data!D$41,Data!D$45:D$49,Data!D$52)-SUM(E$95,E$96,E$97)</f>
        <v>7.223000000000001</v>
      </c>
      <c r="F101" s="174">
        <f ca="1">(SUM(Data!E$41,Data!E$45:E$49,Data!E$52)-SUM(F$95,F$96,F$97))*IF($F$1="Yes",OFFSET(ReadyReckoner!$A$45,0,F$247)*OFFSET(ReadyReckoner!$A$48,0,F$247),1)+IF(OFFSET(Scenarios!$A$55,0,$C$1)="Yes",(1-SUM(OFFSET(Scenarios!$A$56,0,$C$1,5,1)))*F$110,0)+IF($L$1="Yes",F$284,0)</f>
        <v>6.991</v>
      </c>
      <c r="G101" s="174">
        <f ca="1">(SUM(Data!F$41,Data!F$45:F$49,Data!F$52)-SUM(G$95,G$96,G$97))*IF($F$1="Yes",OFFSET(ReadyReckoner!$A$45,0,G$247)*OFFSET(ReadyReckoner!$A$48,0,G$247),1)+IF(OFFSET(Scenarios!$A$55,0,$C$1)="Yes",(1-SUM(OFFSET(Scenarios!$A$56,0,$C$1,5,1)))*G$110,0)+IF($L$1="Yes",G$284,0)</f>
        <v>7.536999999999998</v>
      </c>
      <c r="H101" s="174">
        <f ca="1">(SUM(Data!G$41,Data!G$45:G$49,Data!G$52)-SUM(H$95,H$96,H$97))*IF($F$1="Yes",OFFSET(ReadyReckoner!$A$45,0,H$247)*OFFSET(ReadyReckoner!$A$48,0,H$247),1)+IF(OFFSET(Scenarios!$A$55,0,$C$1)="Yes",(1-SUM(OFFSET(Scenarios!$A$56,0,$C$1,5,1)))*H$110,0)+IF($L$1="Yes",H$284,0)</f>
        <v>7.061</v>
      </c>
      <c r="I101" s="174">
        <f ca="1">(SUM(Data!H$41,Data!H$45:H$49,Data!H$52)-SUM(I$95,I$96,I$97))*IF($F$1="Yes",OFFSET(ReadyReckoner!$A$45,0,I$247)*OFFSET(ReadyReckoner!$A$48,0,I$247),1)+IF(OFFSET(Scenarios!$A$55,0,$C$1)="Yes",(1-SUM(OFFSET(Scenarios!$A$56,0,$C$1,5,1)))*I$110,0)+IF($L$1="Yes",I$284,0)</f>
        <v>7.665999999999999</v>
      </c>
      <c r="J101" s="174">
        <f ca="1">(SUM(Data!I$41,Data!I$45:I$49,Data!I$52)-SUM(J$95,J$96,J$97))*IF($F$1="Yes",OFFSET(ReadyReckoner!$A$45,0,J$247)*OFFSET(ReadyReckoner!$A$48,0,J$247),1)+IF(OFFSET(Scenarios!$A$55,0,$C$1)="Yes",(1-SUM(OFFSET(Scenarios!$A$56,0,$C$1,5,1)))*J$110,0)+IF($L$1="Yes",J$284,0)</f>
        <v>7.234000000000002</v>
      </c>
      <c r="K101" s="106">
        <f ca="1">J$101*(1+K$209)+IF(OFFSET(Scenarios!$A$55,0,$C$1)="Yes",(K$110-J$110*(1+K$209))*(1-SUM(OFFSET(Scenarios!$A$56,0,$C$1,5,1))),0)</f>
        <v>7.306239717604448</v>
      </c>
      <c r="L101" s="106">
        <f ca="1">K$101*(1+L$209)+IF(OFFSET(Scenarios!$A$55,0,$C$1)="Yes",(L$110-K$110*(1+L$209))*(1-SUM(OFFSET(Scenarios!$A$56,0,$C$1,5,1))),0)</f>
        <v>7.3816739147447175</v>
      </c>
      <c r="M101" s="106">
        <f ca="1">L$101*(1+M$209)+IF(OFFSET(Scenarios!$A$55,0,$C$1)="Yes",(M$110-L$110*(1+M$209))*(1-SUM(OFFSET(Scenarios!$A$56,0,$C$1,5,1))),0)</f>
        <v>7.454136032823176</v>
      </c>
      <c r="N101" s="106">
        <f ca="1">M$101*(1+N$209)+IF(OFFSET(Scenarios!$A$55,0,$C$1)="Yes",(N$110-M$110*(1+N$209))*(1-SUM(OFFSET(Scenarios!$A$56,0,$C$1,5,1))),0)</f>
        <v>7.521442503549512</v>
      </c>
      <c r="O101" s="106">
        <f ca="1">N$101*(1+O$209)+IF(OFFSET(Scenarios!$A$55,0,$C$1)="Yes",(O$110-N$110*(1+O$209))*(1-SUM(OFFSET(Scenarios!$A$56,0,$C$1,5,1))),0)</f>
        <v>7.589234211673693</v>
      </c>
      <c r="P101" s="106">
        <f ca="1">O$101*(1+P$209)+IF(OFFSET(Scenarios!$A$55,0,$C$1)="Yes",(P$110-O$110*(1+P$209))*(1-SUM(OFFSET(Scenarios!$A$56,0,$C$1,5,1))),0)</f>
        <v>7.659371233887469</v>
      </c>
      <c r="Q101" s="106">
        <f ca="1">P$101*(1+Q$209)+IF(OFFSET(Scenarios!$A$55,0,$C$1)="Yes",(Q$110-P$110*(1+Q$209))*(1-SUM(OFFSET(Scenarios!$A$56,0,$C$1,5,1))),0)</f>
        <v>7.728194071482076</v>
      </c>
      <c r="R101" s="356">
        <f ca="1">Q$101*(1+R$209)+IF(OFFSET(Scenarios!$A$55,0,$C$1)="Yes",(R$110-Q$110*(1+R$209))*(1-SUM(OFFSET(Scenarios!$A$56,0,$C$1,5,1))),0)-0.25</f>
        <v>7.548957858668071</v>
      </c>
      <c r="S101" s="106">
        <f ca="1">R$101*(1+S$209)+IF(OFFSET(Scenarios!$A$55,0,$C$1)="Yes",(S$110-R$110*(1+S$209))*(1-SUM(OFFSET(Scenarios!$A$56,0,$C$1,5,1))),0)</f>
        <v>7.622424082724854</v>
      </c>
      <c r="T101" s="106">
        <f ca="1">S$101*(1+T$209)+IF(OFFSET(Scenarios!$A$55,0,$C$1)="Yes",(T$110-S$110*(1+T$209))*(1-SUM(OFFSET(Scenarios!$A$56,0,$C$1,5,1))),0)</f>
        <v>7.699373787837074</v>
      </c>
    </row>
    <row r="102" spans="1:20" ht="12.75">
      <c r="A102" s="46" t="s">
        <v>154</v>
      </c>
      <c r="B102" s="57"/>
      <c r="C102" s="94"/>
      <c r="D102" s="96">
        <f>SUM(D$94:D$101)</f>
        <v>15.282</v>
      </c>
      <c r="E102" s="96">
        <f>SUM(E$94:E$101)</f>
        <v>15.812000000000001</v>
      </c>
      <c r="F102" s="175">
        <f>SUM(F$94:F$101)</f>
        <v>17.022</v>
      </c>
      <c r="G102" s="175">
        <f>SUM(G$94:G$101)</f>
        <v>16.738</v>
      </c>
      <c r="H102" s="175">
        <f>SUM(H$94:H$101)</f>
        <v>16.223</v>
      </c>
      <c r="I102" s="175">
        <f>SUM(I$94:I$101)</f>
        <v>16.659</v>
      </c>
      <c r="J102" s="175">
        <f>SUM(J$94:J$101)</f>
        <v>17.26</v>
      </c>
      <c r="K102" s="100">
        <f>SUM(K$94:K$101)</f>
        <v>17.046795811530217</v>
      </c>
      <c r="L102" s="100">
        <f aca="true" t="shared" si="49" ref="L102:T102">SUM(L$94:L$101)</f>
        <v>17.21243106821691</v>
      </c>
      <c r="M102" s="100">
        <f t="shared" si="49"/>
        <v>17.379790348101487</v>
      </c>
      <c r="N102" s="100">
        <f t="shared" si="49"/>
        <v>17.527812974356465</v>
      </c>
      <c r="O102" s="100">
        <f t="shared" si="49"/>
        <v>17.681493415849165</v>
      </c>
      <c r="P102" s="100">
        <f t="shared" si="49"/>
        <v>17.738744331935237</v>
      </c>
      <c r="Q102" s="100">
        <f t="shared" si="49"/>
        <v>17.788203620879212</v>
      </c>
      <c r="R102" s="100">
        <f t="shared" si="49"/>
        <v>17.597772947958827</v>
      </c>
      <c r="S102" s="100">
        <f t="shared" si="49"/>
        <v>17.673411415964782</v>
      </c>
      <c r="T102" s="100">
        <f t="shared" si="49"/>
        <v>17.755961508291577</v>
      </c>
    </row>
    <row r="103" spans="1:20" ht="12.75">
      <c r="A103" s="46" t="s">
        <v>493</v>
      </c>
      <c r="B103" s="335"/>
      <c r="C103" s="94"/>
      <c r="D103" s="96">
        <f>SUM(Data!C$20,Data!C$23:C$31,Data!C$34)</f>
        <v>25.500999999999998</v>
      </c>
      <c r="E103" s="96">
        <f>SUM(Data!D$20,Data!D$23:D$31,Data!D$34)</f>
        <v>30.026</v>
      </c>
      <c r="F103" s="175">
        <f ca="1">SUM(Data!E$20,Data!E$23:E$31,Data!E$34)+IF($F$1="Yes",(SUM(Data!E$41:E$49,Data!E$52)-SUM(F$95,F$96,F$97))*(OFFSET(ReadyReckoner!$A$45,0,F$247)*OFFSET(ReadyReckoner!$A$48,0,F$247)-1),0)+IF(OFFSET(Scenarios!$A$55,0,$C$1)="Yes",(1-SUM(OFFSET(Scenarios!$A$56,0,$C$1,2,1)))*F$110,0)+IF($L$1="Yes",F$284,0)</f>
        <v>31.317000000000004</v>
      </c>
      <c r="G103" s="175">
        <f ca="1">SUM(Data!F$20,Data!F$23:F$31,Data!F$34)+IF($F$1="Yes",(SUM(Data!F$41:F$49,Data!F$52)-SUM(G$95,G$96,G$97))*(OFFSET(ReadyReckoner!$A$45,0,G$247)*OFFSET(ReadyReckoner!$A$48,0,G$247)-1),0)+IF(OFFSET(Scenarios!$A$55,0,$C$1)="Yes",(1-SUM(OFFSET(Scenarios!$A$56,0,$C$1,2,1)))*G$110,0)+IF($L$1="Yes",G$284,0)</f>
        <v>32.035000000000004</v>
      </c>
      <c r="H103" s="175">
        <f ca="1">SUM(Data!G$20,Data!G$23:G$31,Data!G$34)+IF($F$1="Yes",(SUM(Data!G$41:G$49,Data!G$52)-SUM(H$95,H$96,H$97))*(OFFSET(ReadyReckoner!$A$45,0,H$247)*OFFSET(ReadyReckoner!$A$48,0,H$247)-1),0)+IF(OFFSET(Scenarios!$A$55,0,$C$1)="Yes",(1-SUM(OFFSET(Scenarios!$A$56,0,$C$1,2,1)))*H$110,0)+IF($L$1="Yes",H$284,0)</f>
        <v>32.937999999999995</v>
      </c>
      <c r="I103" s="175">
        <f ca="1">SUM(Data!H$20,Data!H$23:H$31,Data!H$34)+IF($F$1="Yes",(SUM(Data!H$41:H$49,Data!H$52)-SUM(I$95,I$96,I$97))*(OFFSET(ReadyReckoner!$A$45,0,I$247)*OFFSET(ReadyReckoner!$A$48,0,I$247)-1),0)+IF(OFFSET(Scenarios!$A$55,0,$C$1)="Yes",(1-SUM(OFFSET(Scenarios!$A$56,0,$C$1,2,1)))*I$110,0)+IF($L$1="Yes",I$284,0)</f>
        <v>33.724</v>
      </c>
      <c r="J103" s="175">
        <f ca="1">SUM(Data!I$20,Data!I$23:I$31,Data!I$34)+IF($F$1="Yes",(SUM(Data!I$41:I$49,Data!I$52)-SUM(J$95,J$96,J$97))*(OFFSET(ReadyReckoner!$A$45,0,J$247)*OFFSET(ReadyReckoner!$A$48,0,J$247)-1),0)+IF(OFFSET(Scenarios!$A$55,0,$C$1)="Yes",(1-SUM(OFFSET(Scenarios!$A$56,0,$C$1,2,1)))*J$110,0)+IF($L$1="Yes",J$284,0)</f>
        <v>34.864</v>
      </c>
      <c r="K103" s="144">
        <f aca="true" t="shared" si="50" ref="K103:T103">SUM(K$102,(J$103-J$102)*(1+K$204))</f>
        <v>35.6717510369525</v>
      </c>
      <c r="L103" s="144">
        <f t="shared" si="50"/>
        <v>36.93518350457846</v>
      </c>
      <c r="M103" s="144">
        <f t="shared" si="50"/>
        <v>38.20748475859547</v>
      </c>
      <c r="N103" s="144">
        <f t="shared" si="50"/>
        <v>39.278073562044355</v>
      </c>
      <c r="O103" s="144">
        <f t="shared" si="50"/>
        <v>40.358359332058384</v>
      </c>
      <c r="P103" s="144">
        <f t="shared" si="50"/>
        <v>41.37652999580074</v>
      </c>
      <c r="Q103" s="144">
        <f t="shared" si="50"/>
        <v>42.423317372660804</v>
      </c>
      <c r="R103" s="144">
        <f t="shared" si="50"/>
        <v>43.26317914098284</v>
      </c>
      <c r="S103" s="144">
        <f t="shared" si="50"/>
        <v>44.41702232096628</v>
      </c>
      <c r="T103" s="144">
        <f t="shared" si="50"/>
        <v>45.61949068832981</v>
      </c>
    </row>
    <row r="104" spans="1:20" ht="12.75">
      <c r="A104" s="46"/>
      <c r="B104" s="137"/>
      <c r="C104" s="94"/>
      <c r="D104" s="96"/>
      <c r="E104" s="96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</row>
    <row r="105" spans="1:20" ht="12.75">
      <c r="A105" s="145" t="s">
        <v>692</v>
      </c>
      <c r="B105" s="137"/>
      <c r="C105" s="94"/>
      <c r="D105" s="63"/>
      <c r="E105" s="63"/>
      <c r="F105" s="94"/>
      <c r="G105" s="94"/>
      <c r="H105" s="94"/>
      <c r="I105" s="94"/>
      <c r="J105" s="94"/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1:20" ht="12.75">
      <c r="A106" s="46" t="s">
        <v>511</v>
      </c>
      <c r="B106" s="335"/>
      <c r="C106" s="94"/>
      <c r="D106" s="96">
        <f>Data!C$50</f>
        <v>2.329</v>
      </c>
      <c r="E106" s="96">
        <f>Data!D$50</f>
        <v>2.46</v>
      </c>
      <c r="F106" s="175">
        <f>Data!E$50+IF($F$1="Yes",SUM(F$271:F$273),0)+IF($I$1="Yes",SUM(F$256:F$258),0)+IF($L$1="Yes",SUM(F$285:F$287),0)</f>
        <v>2.507</v>
      </c>
      <c r="G106" s="175">
        <f>Data!F$50+IF($F$1="Yes",SUM(G$271:G$273),0)+IF($I$1="Yes",SUM(G$256:G$258),0)+IF($L$1="Yes",SUM(G$285:G$287),0)</f>
        <v>2.47</v>
      </c>
      <c r="H106" s="175">
        <f>Data!G$50+IF($F$1="Yes",SUM(H$271:H$273),0)+IF($I$1="Yes",SUM(H$256:H$258),0)+IF($L$1="Yes",SUM(H$285:H$287),0)</f>
        <v>2.998</v>
      </c>
      <c r="I106" s="175">
        <f>Data!H$50+IF($F$1="Yes",SUM(I$271:I$273),0)+IF($I$1="Yes",SUM(I$256:I$258),0)+IF($L$1="Yes",SUM(I$285:I$287),0)</f>
        <v>3.575</v>
      </c>
      <c r="J106" s="175">
        <f>Data!I$50+IF($F$1="Yes",SUM(J$271:J$273),0)+IF($I$1="Yes",SUM(J$256:J$258),0)+IF($L$1="Yes",SUM(J$285:J$287),0)</f>
        <v>4.33</v>
      </c>
      <c r="K106" s="63">
        <f aca="true" t="shared" si="51" ref="K106:T106">J$194*K$207</f>
        <v>5.2403208</v>
      </c>
      <c r="L106" s="63">
        <f t="shared" si="51"/>
        <v>5.897551007993376</v>
      </c>
      <c r="M106" s="63">
        <f t="shared" si="51"/>
        <v>6.474800550590086</v>
      </c>
      <c r="N106" s="63">
        <f t="shared" si="51"/>
        <v>6.950134633234481</v>
      </c>
      <c r="O106" s="63">
        <f t="shared" si="51"/>
        <v>7.245332436846103</v>
      </c>
      <c r="P106" s="63">
        <f t="shared" si="51"/>
        <v>7.481470567743035</v>
      </c>
      <c r="Q106" s="63">
        <f t="shared" si="51"/>
        <v>7.652882414719511</v>
      </c>
      <c r="R106" s="63">
        <f t="shared" si="51"/>
        <v>7.749168110731152</v>
      </c>
      <c r="S106" s="63">
        <f t="shared" si="51"/>
        <v>7.892614968314991</v>
      </c>
      <c r="T106" s="63">
        <f t="shared" si="51"/>
        <v>7.941752581775944</v>
      </c>
    </row>
    <row r="107" spans="1:20" ht="12.75">
      <c r="A107" s="46" t="s">
        <v>512</v>
      </c>
      <c r="B107" s="335"/>
      <c r="C107" s="94"/>
      <c r="D107" s="96">
        <f>Data!C$32</f>
        <v>2.885</v>
      </c>
      <c r="E107" s="96">
        <f>Data!D$32</f>
        <v>3.101</v>
      </c>
      <c r="F107" s="175">
        <f>Data!E$32+IF($F$1="Yes",SUM(F$271:F$273),0)+IF($I$1="Yes",SUM(F$256:F$258),0)+IF($L$1="Yes",SUM(F$285:F$287),0)</f>
        <v>3.358</v>
      </c>
      <c r="G107" s="175">
        <f>Data!F$32+IF($F$1="Yes",SUM(G$271:G$273),0)+IF($I$1="Yes",SUM(G$256:G$258),0)+IF($L$1="Yes",SUM(G$285:G$287),0)</f>
        <v>3.349</v>
      </c>
      <c r="H107" s="175">
        <f>Data!G$32+IF($F$1="Yes",SUM(H$271:H$273),0)+IF($I$1="Yes",SUM(H$256:H$258),0)+IF($L$1="Yes",SUM(H$285:H$287),0)</f>
        <v>4.019</v>
      </c>
      <c r="I107" s="175">
        <f>Data!H$32+IF($F$1="Yes",SUM(I$271:I$273),0)+IF($I$1="Yes",SUM(I$256:I$258),0)+IF($L$1="Yes",SUM(I$285:I$287),0)</f>
        <v>4.625</v>
      </c>
      <c r="J107" s="175">
        <f>Data!I$32+IF($F$1="Yes",SUM(J$271:J$273),0)+IF($I$1="Yes",SUM(J$256:J$258),0)+IF($L$1="Yes",SUM(J$285:J$287),0)</f>
        <v>5.46</v>
      </c>
      <c r="K107" s="63">
        <f aca="true" t="shared" si="52" ref="K107:T107">SUM(J$191,J$192)*K$207</f>
        <v>6.0987212</v>
      </c>
      <c r="L107" s="63">
        <f t="shared" si="52"/>
        <v>6.8010008363098455</v>
      </c>
      <c r="M107" s="63">
        <f t="shared" si="52"/>
        <v>7.438105684513654</v>
      </c>
      <c r="N107" s="63">
        <f t="shared" si="52"/>
        <v>7.979531335259709</v>
      </c>
      <c r="O107" s="63">
        <f t="shared" si="52"/>
        <v>8.32134415948073</v>
      </c>
      <c r="P107" s="63">
        <f t="shared" si="52"/>
        <v>8.609153203853765</v>
      </c>
      <c r="Q107" s="63">
        <f t="shared" si="52"/>
        <v>8.840055920326488</v>
      </c>
      <c r="R107" s="63">
        <f t="shared" si="52"/>
        <v>9.004648167525222</v>
      </c>
      <c r="S107" s="63">
        <f t="shared" si="52"/>
        <v>9.21512377305158</v>
      </c>
      <c r="T107" s="63">
        <f t="shared" si="52"/>
        <v>9.342525161027503</v>
      </c>
    </row>
    <row r="108" spans="1:20" ht="12.75">
      <c r="A108" s="46"/>
      <c r="B108" s="137"/>
      <c r="C108" s="94"/>
      <c r="D108" s="96"/>
      <c r="E108" s="96"/>
      <c r="F108" s="175"/>
      <c r="G108" s="175"/>
      <c r="H108" s="175"/>
      <c r="I108" s="175"/>
      <c r="J108" s="175"/>
      <c r="K108" s="175"/>
      <c r="L108" s="175"/>
      <c r="M108" s="100"/>
      <c r="N108" s="100"/>
      <c r="O108" s="100"/>
      <c r="P108" s="100"/>
      <c r="Q108" s="100"/>
      <c r="R108" s="100"/>
      <c r="S108" s="100"/>
      <c r="T108" s="100"/>
    </row>
    <row r="109" spans="1:20" ht="12.75">
      <c r="A109" s="145" t="s">
        <v>693</v>
      </c>
      <c r="B109" s="137"/>
      <c r="C109" s="94"/>
      <c r="D109" s="96">
        <f>D$110</f>
        <v>0</v>
      </c>
      <c r="E109" s="96">
        <f>E$110-D$110</f>
        <v>0</v>
      </c>
      <c r="F109" s="175">
        <f ca="1">IF(OFFSET(Scenarios!$A$55,0,$C$1)="Yes",0,F$110-E$110)</f>
        <v>0</v>
      </c>
      <c r="G109" s="175">
        <f ca="1">IF(OFFSET(Scenarios!$A$55,0,$C$1)="Yes",0,G$110-F$110)</f>
        <v>0.254</v>
      </c>
      <c r="H109" s="175">
        <f ca="1">IF(OFFSET(Scenarios!$A$55,0,$C$1)="Yes",0,H$110-G$110)</f>
        <v>1.182</v>
      </c>
      <c r="I109" s="175">
        <f ca="1">IF(OFFSET(Scenarios!$A$55,0,$C$1)="Yes",0,I$110-H$110)</f>
        <v>1.097</v>
      </c>
      <c r="J109" s="175">
        <f ca="1">IF(OFFSET(Scenarios!$A$55,0,$C$1)="Yes",0,J$110-I$110)</f>
        <v>1.089</v>
      </c>
      <c r="K109" s="144">
        <f ca="1">IF(OFFSET(Scenarios!$A$55,0,$C$1)="Yes",0,IF(K$2="Proj Yr1",OFFSET(Scenarios!$A$28,0,$C$1),J$109*(1+IF(OFFSET(Scenarios!$A$32,0,$C$1)="GDP",K$204,IF(OFFSET(Scenarios!$A$32,0,$C$1)="CPI",K$206,0)))))</f>
        <v>0.847</v>
      </c>
      <c r="L109" s="144">
        <f ca="1">IF(OFFSET(Scenarios!$A$55,0,$C$1)="Yes",0,IF(L$2="Proj Yr1",OFFSET(Scenarios!$A$28,0,$C$1),K$109*(1+IF(OFFSET(Scenarios!$A$32,0,$C$1)="GDP",L$204,IF(OFFSET(Scenarios!$A$32,0,$C$1)="CPI",L$206,0)))))</f>
        <v>0.86394</v>
      </c>
      <c r="M109" s="144">
        <f ca="1">IF(OFFSET(Scenarios!$A$55,0,$C$1)="Yes",0,IF(M$2="Proj Yr1",OFFSET(Scenarios!$A$28,0,$C$1),L$109*(1+IF(OFFSET(Scenarios!$A$32,0,$C$1)="GDP",M$204,IF(OFFSET(Scenarios!$A$32,0,$C$1)="CPI",M$206,0)))))</f>
        <v>0.8812188000000001</v>
      </c>
      <c r="N109" s="144">
        <f ca="1">IF(OFFSET(Scenarios!$A$55,0,$C$1)="Yes",0,IF(N$2="Proj Yr1",OFFSET(Scenarios!$A$28,0,$C$1),M$109*(1+IF(OFFSET(Scenarios!$A$32,0,$C$1)="GDP",N$204,IF(OFFSET(Scenarios!$A$32,0,$C$1)="CPI",N$206,0)))))</f>
        <v>0.8988431760000001</v>
      </c>
      <c r="O109" s="144">
        <f ca="1">IF(OFFSET(Scenarios!$A$55,0,$C$1)="Yes",0,IF(O$2="Proj Yr1",OFFSET(Scenarios!$A$28,0,$C$1),N$109*(1+IF(OFFSET(Scenarios!$A$32,0,$C$1)="GDP",O$204,IF(OFFSET(Scenarios!$A$32,0,$C$1)="CPI",O$206,0)))))</f>
        <v>0.9168200395200001</v>
      </c>
      <c r="P109" s="144">
        <f ca="1">IF(OFFSET(Scenarios!$A$55,0,$C$1)="Yes",0,IF(P$2="Proj Yr1",OFFSET(Scenarios!$A$28,0,$C$1),O$109*(1+IF(OFFSET(Scenarios!$A$32,0,$C$1)="GDP",P$204,IF(OFFSET(Scenarios!$A$32,0,$C$1)="CPI",P$206,0)))))</f>
        <v>0.9351564403104001</v>
      </c>
      <c r="Q109" s="144">
        <f ca="1">IF(OFFSET(Scenarios!$A$55,0,$C$1)="Yes",0,IF(Q$2="Proj Yr1",OFFSET(Scenarios!$A$28,0,$C$1),P$109*(1+IF(OFFSET(Scenarios!$A$32,0,$C$1)="GDP",Q$204,IF(OFFSET(Scenarios!$A$32,0,$C$1)="CPI",Q$206,0)))))</f>
        <v>0.9538595691166082</v>
      </c>
      <c r="R109" s="144">
        <f ca="1">IF(OFFSET(Scenarios!$A$55,0,$C$1)="Yes",0,IF(R$2="Proj Yr1",OFFSET(Scenarios!$A$28,0,$C$1),Q$109*(1+IF(OFFSET(Scenarios!$A$32,0,$C$1)="GDP",R$204,IF(OFFSET(Scenarios!$A$32,0,$C$1)="CPI",R$206,0)))))</f>
        <v>0.9729367604989404</v>
      </c>
      <c r="S109" s="144">
        <f ca="1">IF(OFFSET(Scenarios!$A$55,0,$C$1)="Yes",0,IF(S$2="Proj Yr1",OFFSET(Scenarios!$A$28,0,$C$1),R$109*(1+IF(OFFSET(Scenarios!$A$32,0,$C$1)="GDP",S$204,IF(OFFSET(Scenarios!$A$32,0,$C$1)="CPI",S$206,0)))))</f>
        <v>0.9923954957089193</v>
      </c>
      <c r="T109" s="144">
        <f ca="1">IF(OFFSET(Scenarios!$A$55,0,$C$1)="Yes",0,IF(T$2="Proj Yr1",OFFSET(Scenarios!$A$28,0,$C$1),S$109*(1+IF(OFFSET(Scenarios!$A$32,0,$C$1)="GDP",T$204,IF(OFFSET(Scenarios!$A$32,0,$C$1)="CPI",T$206,0)))))</f>
        <v>1.0122434056230978</v>
      </c>
    </row>
    <row r="110" spans="1:20" ht="12.75">
      <c r="A110" s="323" t="s">
        <v>330</v>
      </c>
      <c r="B110" s="335"/>
      <c r="C110" s="94"/>
      <c r="D110" s="244">
        <f>Data!C$51</f>
        <v>0</v>
      </c>
      <c r="E110" s="244">
        <f>Data!D$51</f>
        <v>0</v>
      </c>
      <c r="F110" s="221">
        <f>Data!E$51+IF($I$1="Yes",F$255,0)</f>
        <v>0</v>
      </c>
      <c r="G110" s="221">
        <f>Data!F$51+IF($I$1="Yes",G$255,0)</f>
        <v>0.254</v>
      </c>
      <c r="H110" s="221">
        <f>Data!G$51+IF($I$1="Yes",H$255,0)</f>
        <v>1.436</v>
      </c>
      <c r="I110" s="221">
        <f>Data!H$51+IF($I$1="Yes",I$255,0)</f>
        <v>2.533</v>
      </c>
      <c r="J110" s="221">
        <f>Data!I$51+IF($I$1="Yes",J$255,0)</f>
        <v>3.622</v>
      </c>
      <c r="K110" s="135">
        <f ca="1">J$110+IF(K$2="Proj Yr1",OFFSET(Scenarios!$A$28,0,$C$1),(J$110-I$110)*(1+IF(OFFSET(Scenarios!$A$32,0,$C$1)="GDP",K$204,IF(OFFSET(Scenarios!$A$32,0,$C$1)="CPI",K$206,0))))</f>
        <v>4.468999999999999</v>
      </c>
      <c r="L110" s="135">
        <f ca="1">K$110+IF(L$2="Proj Yr1",OFFSET(Scenarios!$A$28,0,$C$1),(K$110-J$110)*(1+IF(OFFSET(Scenarios!$A$32,0,$C$1)="GDP",L$204,IF(OFFSET(Scenarios!$A$32,0,$C$1)="CPI",L$206,0))))</f>
        <v>5.332939999999999</v>
      </c>
      <c r="M110" s="135">
        <f ca="1">L$110+IF(M$2="Proj Yr1",OFFSET(Scenarios!$A$28,0,$C$1),(L$110-K$110)*(1+IF(OFFSET(Scenarios!$A$32,0,$C$1)="GDP",M$204,IF(OFFSET(Scenarios!$A$32,0,$C$1)="CPI",M$206,0))))</f>
        <v>6.214158799999998</v>
      </c>
      <c r="N110" s="135">
        <f ca="1">M$110+IF(N$2="Proj Yr1",OFFSET(Scenarios!$A$28,0,$C$1),(M$110-L$110)*(1+IF(OFFSET(Scenarios!$A$32,0,$C$1)="GDP",N$204,IF(OFFSET(Scenarios!$A$32,0,$C$1)="CPI",N$206,0))))</f>
        <v>7.113001975999997</v>
      </c>
      <c r="O110" s="135">
        <f ca="1">N$110+IF(O$2="Proj Yr1",OFFSET(Scenarios!$A$28,0,$C$1),(N$110-M$110)*(1+IF(OFFSET(Scenarios!$A$32,0,$C$1)="GDP",O$204,IF(OFFSET(Scenarios!$A$32,0,$C$1)="CPI",O$206,0))))</f>
        <v>8.029822015519995</v>
      </c>
      <c r="P110" s="135">
        <f ca="1">O$110+IF(P$2="Proj Yr1",OFFSET(Scenarios!$A$28,0,$C$1),(O$110-N$110)*(1+IF(OFFSET(Scenarios!$A$32,0,$C$1)="GDP",P$204,IF(OFFSET(Scenarios!$A$32,0,$C$1)="CPI",P$206,0))))</f>
        <v>8.964978455830394</v>
      </c>
      <c r="Q110" s="135">
        <f ca="1">P$110+IF(Q$2="Proj Yr1",OFFSET(Scenarios!$A$28,0,$C$1),(P$110-O$110)*(1+IF(OFFSET(Scenarios!$A$32,0,$C$1)="GDP",Q$204,IF(OFFSET(Scenarios!$A$32,0,$C$1)="CPI",Q$206,0))))</f>
        <v>9.918838024947002</v>
      </c>
      <c r="R110" s="135">
        <f ca="1">Q$110+IF(R$2="Proj Yr1",OFFSET(Scenarios!$A$28,0,$C$1),(Q$110-P$110)*(1+IF(OFFSET(Scenarios!$A$32,0,$C$1)="GDP",R$204,IF(OFFSET(Scenarios!$A$32,0,$C$1)="CPI",R$206,0))))</f>
        <v>10.891774785445941</v>
      </c>
      <c r="S110" s="135">
        <f ca="1">R$110+IF(S$2="Proj Yr1",OFFSET(Scenarios!$A$28,0,$C$1),(R$110-Q$110)*(1+IF(OFFSET(Scenarios!$A$32,0,$C$1)="GDP",S$204,IF(OFFSET(Scenarios!$A$32,0,$C$1)="CPI",S$206,0))))</f>
        <v>11.884170281154859</v>
      </c>
      <c r="T110" s="135">
        <f ca="1">S$110+IF(T$2="Proj Yr1",OFFSET(Scenarios!$A$28,0,$C$1),(S$110-R$110)*(1+IF(OFFSET(Scenarios!$A$32,0,$C$1)="GDP",T$204,IF(OFFSET(Scenarios!$A$32,0,$C$1)="CPI",T$206,0))))</f>
        <v>12.896413686777954</v>
      </c>
    </row>
    <row r="111" spans="1:20" ht="12.75">
      <c r="A111" s="50"/>
      <c r="B111" s="94"/>
      <c r="C111" s="94"/>
      <c r="D111" s="244"/>
      <c r="E111" s="244"/>
      <c r="F111" s="244"/>
      <c r="G111" s="244"/>
      <c r="H111" s="244"/>
      <c r="I111" s="244"/>
      <c r="J111" s="244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</row>
    <row r="112" spans="1:20" ht="12.75">
      <c r="A112" s="145" t="s">
        <v>713</v>
      </c>
      <c r="B112" s="94"/>
      <c r="C112" s="94"/>
      <c r="D112" s="244"/>
      <c r="E112" s="244"/>
      <c r="F112" s="244"/>
      <c r="G112" s="244"/>
      <c r="H112" s="244"/>
      <c r="I112" s="244"/>
      <c r="J112" s="244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</row>
    <row r="113" spans="1:20" ht="12.75">
      <c r="A113" s="46" t="s">
        <v>367</v>
      </c>
      <c r="B113" s="335"/>
      <c r="C113" s="94"/>
      <c r="D113" s="136">
        <f>Data!C$106</f>
        <v>1.118</v>
      </c>
      <c r="E113" s="136">
        <f>Data!D$106</f>
        <v>0.872</v>
      </c>
      <c r="F113" s="175">
        <f>Data!E$106</f>
        <v>2.432</v>
      </c>
      <c r="G113" s="175">
        <f>Data!F$106</f>
        <v>2.247</v>
      </c>
      <c r="H113" s="175">
        <f>Data!G$106</f>
        <v>2.279</v>
      </c>
      <c r="I113" s="175">
        <f>Data!H$106</f>
        <v>2.504</v>
      </c>
      <c r="J113" s="175">
        <f>Data!I$106</f>
        <v>2.256</v>
      </c>
      <c r="K113" s="63">
        <f aca="true" t="shared" si="53" ref="K113:T113">J$113*(1+K$206)</f>
        <v>2.2989811885650315</v>
      </c>
      <c r="L113" s="63">
        <f t="shared" si="53"/>
        <v>2.3449608123363324</v>
      </c>
      <c r="M113" s="63">
        <f t="shared" si="53"/>
        <v>2.391860028583059</v>
      </c>
      <c r="N113" s="63">
        <f t="shared" si="53"/>
        <v>2.4396972291547203</v>
      </c>
      <c r="O113" s="63">
        <f t="shared" si="53"/>
        <v>2.4884911737378146</v>
      </c>
      <c r="P113" s="63">
        <f t="shared" si="53"/>
        <v>2.538260997212571</v>
      </c>
      <c r="Q113" s="63">
        <f t="shared" si="53"/>
        <v>2.5890262171568224</v>
      </c>
      <c r="R113" s="63">
        <f t="shared" si="53"/>
        <v>2.6408067414999588</v>
      </c>
      <c r="S113" s="63">
        <f t="shared" si="53"/>
        <v>2.693622876329958</v>
      </c>
      <c r="T113" s="63">
        <f t="shared" si="53"/>
        <v>2.7474953338565573</v>
      </c>
    </row>
    <row r="114" spans="1:20" ht="12.75">
      <c r="A114" s="46" t="s">
        <v>714</v>
      </c>
      <c r="B114" s="335"/>
      <c r="C114" s="94"/>
      <c r="D114" s="136">
        <f>Data!C$55</f>
        <v>4.163</v>
      </c>
      <c r="E114" s="136">
        <f>Data!D$55</f>
        <v>3.804</v>
      </c>
      <c r="F114" s="175">
        <f>Data!E$55</f>
        <v>5.353</v>
      </c>
      <c r="G114" s="175">
        <f>Data!F$55</f>
        <v>5.042</v>
      </c>
      <c r="H114" s="175">
        <f>Data!G$55</f>
        <v>5.045</v>
      </c>
      <c r="I114" s="175">
        <f>Data!H$55</f>
        <v>5.37</v>
      </c>
      <c r="J114" s="175">
        <f>Data!I$55</f>
        <v>5.107</v>
      </c>
      <c r="K114" s="63">
        <f aca="true" t="shared" si="54" ref="K114:T114">J$114*(1+K$206)</f>
        <v>5.204298284575185</v>
      </c>
      <c r="L114" s="63">
        <f t="shared" si="54"/>
        <v>5.308384250266689</v>
      </c>
      <c r="M114" s="63">
        <f t="shared" si="54"/>
        <v>5.414551935272023</v>
      </c>
      <c r="N114" s="63">
        <f t="shared" si="54"/>
        <v>5.522842973977464</v>
      </c>
      <c r="O114" s="63">
        <f t="shared" si="54"/>
        <v>5.633299833457013</v>
      </c>
      <c r="P114" s="63">
        <f t="shared" si="54"/>
        <v>5.745965830126154</v>
      </c>
      <c r="Q114" s="63">
        <f t="shared" si="54"/>
        <v>5.860885146728677</v>
      </c>
      <c r="R114" s="63">
        <f t="shared" si="54"/>
        <v>5.978102849663251</v>
      </c>
      <c r="S114" s="63">
        <f t="shared" si="54"/>
        <v>6.097664906656516</v>
      </c>
      <c r="T114" s="63">
        <f t="shared" si="54"/>
        <v>6.219618204789646</v>
      </c>
    </row>
    <row r="115" spans="1:20" ht="12.75">
      <c r="A115" s="46" t="s">
        <v>368</v>
      </c>
      <c r="B115" s="335"/>
      <c r="C115" s="94"/>
      <c r="D115" s="136">
        <f>Data!C$107</f>
        <v>7.59</v>
      </c>
      <c r="E115" s="136">
        <f>Data!D$107</f>
        <v>9.031</v>
      </c>
      <c r="F115" s="175">
        <f>Data!E$107</f>
        <v>8.786</v>
      </c>
      <c r="G115" s="175">
        <f>Data!F$107</f>
        <v>8.877</v>
      </c>
      <c r="H115" s="175">
        <f>Data!G$107</f>
        <v>8.572</v>
      </c>
      <c r="I115" s="175">
        <f>Data!H$107</f>
        <v>8.49</v>
      </c>
      <c r="J115" s="175">
        <f>Data!I$107</f>
        <v>8.621</v>
      </c>
      <c r="K115" s="63">
        <f aca="true" t="shared" si="55" ref="K115:T115">J$115*(1+K$206)</f>
        <v>8.785246820309903</v>
      </c>
      <c r="L115" s="63">
        <f t="shared" si="55"/>
        <v>8.960951756716101</v>
      </c>
      <c r="M115" s="63">
        <f t="shared" si="55"/>
        <v>9.140170791850423</v>
      </c>
      <c r="N115" s="63">
        <f t="shared" si="55"/>
        <v>9.322974207687432</v>
      </c>
      <c r="O115" s="63">
        <f t="shared" si="55"/>
        <v>9.509433691841181</v>
      </c>
      <c r="P115" s="63">
        <f t="shared" si="55"/>
        <v>9.699622365678005</v>
      </c>
      <c r="Q115" s="63">
        <f t="shared" si="55"/>
        <v>9.893614812991565</v>
      </c>
      <c r="R115" s="63">
        <f t="shared" si="55"/>
        <v>10.091487109251396</v>
      </c>
      <c r="S115" s="63">
        <f t="shared" si="55"/>
        <v>10.293316851436424</v>
      </c>
      <c r="T115" s="63">
        <f t="shared" si="55"/>
        <v>10.499183188465153</v>
      </c>
    </row>
    <row r="116" spans="1:20" ht="12.75">
      <c r="A116" s="46" t="s">
        <v>370</v>
      </c>
      <c r="B116" s="335"/>
      <c r="C116" s="94"/>
      <c r="D116" s="136">
        <f>Data!C$56</f>
        <v>12.058</v>
      </c>
      <c r="E116" s="136">
        <f>Data!D$56</f>
        <v>14.158</v>
      </c>
      <c r="F116" s="175">
        <f>Data!E$56</f>
        <v>13.787</v>
      </c>
      <c r="G116" s="175">
        <f>Data!F$56</f>
        <v>14.093</v>
      </c>
      <c r="H116" s="175">
        <f>Data!G$56</f>
        <v>14.018</v>
      </c>
      <c r="I116" s="175">
        <f>Data!H$56</f>
        <v>14.029</v>
      </c>
      <c r="J116" s="175">
        <f>Data!I$56</f>
        <v>14.439</v>
      </c>
      <c r="K116" s="63">
        <f aca="true" t="shared" si="56" ref="K116:T116">J$116*(1+K$206)</f>
        <v>14.714091037983374</v>
      </c>
      <c r="L116" s="63">
        <f t="shared" si="56"/>
        <v>15.008372858743042</v>
      </c>
      <c r="M116" s="63">
        <f t="shared" si="56"/>
        <v>15.308540315917904</v>
      </c>
      <c r="N116" s="63">
        <f t="shared" si="56"/>
        <v>15.614711122236262</v>
      </c>
      <c r="O116" s="63">
        <f t="shared" si="56"/>
        <v>15.927005344680987</v>
      </c>
      <c r="P116" s="63">
        <f t="shared" si="56"/>
        <v>16.245545451574607</v>
      </c>
      <c r="Q116" s="63">
        <f t="shared" si="56"/>
        <v>16.570456360606098</v>
      </c>
      <c r="R116" s="63">
        <f t="shared" si="56"/>
        <v>16.90186548781822</v>
      </c>
      <c r="S116" s="63">
        <f t="shared" si="56"/>
        <v>17.239902797574587</v>
      </c>
      <c r="T116" s="63">
        <f t="shared" si="56"/>
        <v>17.58470085352608</v>
      </c>
    </row>
    <row r="117" spans="1:20" ht="12.75">
      <c r="A117" s="46"/>
      <c r="B117" s="94"/>
      <c r="C117" s="94"/>
      <c r="D117" s="136"/>
      <c r="E117" s="136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</row>
    <row r="118" spans="1:20" ht="12.75">
      <c r="A118" s="145" t="s">
        <v>717</v>
      </c>
      <c r="B118" s="94"/>
      <c r="C118" s="94"/>
      <c r="D118" s="136"/>
      <c r="E118" s="136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</row>
    <row r="119" spans="1:20" ht="12.75">
      <c r="A119" s="50" t="s">
        <v>893</v>
      </c>
      <c r="B119" s="94"/>
      <c r="C119" s="94"/>
      <c r="D119" s="94">
        <f>ROUND(D$123*(Data!C$142-Data!C$146*2/3)/(SUM(Data!C$142:C$145)-SUM(Data!C$107,Data!C$146,Data!C$163)),3)</f>
        <v>9.078</v>
      </c>
      <c r="E119" s="94">
        <f>ROUND(E$123*(Data!D$142-Data!D$146*2/3)/(SUM(Data!D$142:D$145)-SUM(Data!D$107,Data!D$146,Data!D$163)),3)</f>
        <v>12.641</v>
      </c>
      <c r="F119" s="141">
        <f>ROUND((F$123-IF($I$1="Yes",F$260,0)-IF($L$1="Yes",F$291,0))*(Data!E$142-Data!E$146*2/3)/(SUM(Data!E$142:E$145)-SUM(Data!E$107,Data!E$146,Data!E$163)),3)+IF($I$1="Yes",F$260,0)</f>
        <v>14.608</v>
      </c>
      <c r="G119" s="141">
        <f>ROUND((G$123-IF($I$1="Yes",G$260,0)-IF($L$1="Yes",G$291,0))*(Data!F$142-Data!F$146*2/3)/(SUM(Data!F$142:F$145)-SUM(Data!F$107,Data!F$146,Data!F$163)),3)+IF($I$1="Yes",G$260,0)</f>
        <v>10.936</v>
      </c>
      <c r="H119" s="141">
        <f>ROUND((H$123-IF($I$1="Yes",H$260,0)-IF($L$1="Yes",H$291,0))*(Data!G$142-Data!G$146*2/3)/(SUM(Data!G$142:G$145)-SUM(Data!G$107,Data!G$146,Data!G$163)),3)+IF($I$1="Yes",H$260,0)</f>
        <v>10.034</v>
      </c>
      <c r="I119" s="141">
        <f>ROUND((I$123-IF($I$1="Yes",I$260,0)-IF($L$1="Yes",I$291,0))*(Data!H$142-Data!H$146*2/3)/(SUM(Data!H$142:H$145)-SUM(Data!H$107,Data!H$146,Data!H$163)),3)+IF($I$1="Yes",I$260,0)</f>
        <v>6.555</v>
      </c>
      <c r="J119" s="141">
        <f>ROUND((J$123-IF($I$1="Yes",J$260,0)-IF($L$1="Yes",J$291,0))*(Data!I$142-Data!I$146*2/3)/(SUM(Data!I$142:I$145)-SUM(Data!I$107,Data!I$146,Data!I$163)),3)+IF($I$1="Yes",J$260,0)</f>
        <v>4.473</v>
      </c>
      <c r="K119" s="98">
        <f>J$119*(1+K$206)</f>
        <v>4.558219351263912</v>
      </c>
      <c r="L119" s="98">
        <f aca="true" t="shared" si="57" ref="L119:T119">K$119*(1+L$206)</f>
        <v>4.649383738289191</v>
      </c>
      <c r="M119" s="98">
        <f t="shared" si="57"/>
        <v>4.742371413054975</v>
      </c>
      <c r="N119" s="98">
        <f t="shared" si="57"/>
        <v>4.837218841316074</v>
      </c>
      <c r="O119" s="98">
        <f t="shared" si="57"/>
        <v>4.933963218142395</v>
      </c>
      <c r="P119" s="98">
        <f t="shared" si="57"/>
        <v>5.032642482505243</v>
      </c>
      <c r="Q119" s="98">
        <f t="shared" si="57"/>
        <v>5.133295332155348</v>
      </c>
      <c r="R119" s="98">
        <f t="shared" si="57"/>
        <v>5.235961238798455</v>
      </c>
      <c r="S119" s="98">
        <f t="shared" si="57"/>
        <v>5.340680463574425</v>
      </c>
      <c r="T119" s="98">
        <f t="shared" si="57"/>
        <v>5.447494072845913</v>
      </c>
    </row>
    <row r="120" spans="1:20" ht="12.75">
      <c r="A120" s="50" t="s">
        <v>889</v>
      </c>
      <c r="B120" s="335"/>
      <c r="C120" s="94"/>
      <c r="D120" s="94">
        <f>ROUND(D$123*(Data!C$143-Data!C$146*1/3)/(SUM(Data!C$142:C$145)-SUM(Data!C$107,Data!C$146,Data!C$163)),3)</f>
        <v>12.757</v>
      </c>
      <c r="E120" s="94">
        <f>ROUND(E$123*(Data!D$143-Data!D$146*1/3)/(SUM(Data!D$142:D$145)-SUM(Data!D$107,Data!D$146,Data!D$163)),3)</f>
        <v>13.375</v>
      </c>
      <c r="F120" s="141">
        <f>ROUND((F$123-IF($I$1="Yes",F$260,0)-IF($L$1="Yes",F$291,0))*(Data!E$143-Data!E$146*1/3)/(SUM(Data!E$142:E$145)-SUM(Data!E$107,Data!E$146,Data!E$163)),3)+IF($I$1="Yes",F$260,0)</f>
        <v>24.082</v>
      </c>
      <c r="G120" s="141">
        <f>ROUND((G$123-IF($I$1="Yes",G$260,0)-IF($L$1="Yes",G$291,0))*(Data!F$143-Data!F$146*1/3)/(SUM(Data!F$142:F$145)-SUM(Data!F$107,Data!F$146,Data!F$163)),3)+IF($I$1="Yes",G$260,0)</f>
        <v>23.946</v>
      </c>
      <c r="H120" s="141">
        <f>ROUND((H$123-IF($I$1="Yes",H$260,0)-IF($L$1="Yes",H$291,0))*(Data!G$143-Data!G$146*1/3)/(SUM(Data!G$142:G$145)-SUM(Data!G$107,Data!G$146,Data!G$163)),3)+IF($I$1="Yes",H$260,0)</f>
        <v>23.995</v>
      </c>
      <c r="I120" s="141">
        <f>ROUND((I$123-IF($I$1="Yes",I$260,0)-IF($L$1="Yes",I$291,0))*(Data!H$143-Data!H$146*1/3)/(SUM(Data!H$142:H$145)-SUM(Data!H$107,Data!H$146,Data!H$163)),3)+IF($I$1="Yes",I$260,0)</f>
        <v>23.501</v>
      </c>
      <c r="J120" s="141">
        <f>ROUND((J$123-IF($I$1="Yes",J$260,0)-IF($L$1="Yes",J$291,0))*(Data!I$143-Data!I$146*1/3)/(SUM(Data!I$142:I$145)-SUM(Data!I$107,Data!I$146,Data!I$163)),3)+IF($I$1="Yes",J$260,0)</f>
        <v>23.042</v>
      </c>
      <c r="K120" s="98">
        <f aca="true" t="shared" si="58" ref="K120:T120">J$120*(1+K$206)</f>
        <v>23.480994923278132</v>
      </c>
      <c r="L120" s="98">
        <f t="shared" si="58"/>
        <v>23.950614821743695</v>
      </c>
      <c r="M120" s="98">
        <f t="shared" si="58"/>
        <v>24.42962711817857</v>
      </c>
      <c r="N120" s="98">
        <f t="shared" si="58"/>
        <v>24.918219660542142</v>
      </c>
      <c r="O120" s="98">
        <f t="shared" si="58"/>
        <v>25.416584053752985</v>
      </c>
      <c r="P120" s="98">
        <f t="shared" si="58"/>
        <v>25.924915734828044</v>
      </c>
      <c r="Q120" s="98">
        <f t="shared" si="58"/>
        <v>26.443414049524606</v>
      </c>
      <c r="R120" s="98">
        <f t="shared" si="58"/>
        <v>26.9722823305151</v>
      </c>
      <c r="S120" s="98">
        <f t="shared" si="58"/>
        <v>27.511727977125403</v>
      </c>
      <c r="T120" s="98">
        <f t="shared" si="58"/>
        <v>28.061962536667913</v>
      </c>
    </row>
    <row r="121" spans="1:20" ht="12.75">
      <c r="A121" s="50" t="s">
        <v>375</v>
      </c>
      <c r="B121" s="335"/>
      <c r="C121" s="94"/>
      <c r="D121" s="94">
        <f>ROUND(D$123*Data!C$144/(SUM(Data!C$142:C$145)-SUM(Data!C$107,Data!C$146,Data!C$163)),3)</f>
        <v>11.206</v>
      </c>
      <c r="E121" s="94">
        <f>ROUND(E$123*Data!D$144/(SUM(Data!D$142:D$145)-SUM(Data!D$107,Data!D$146,Data!D$163)),3)</f>
        <v>12.329</v>
      </c>
      <c r="F121" s="141">
        <f>ROUND((F$123-IF($I$1="Yes",F$260,0)-IF($L$1="Yes",F$291,0))*Data!E$144/(SUM(Data!E$142:E$145)-SUM(Data!E$107,Data!E$146,Data!E$163)),3)+IF($L$1="Yes",F$291,0)</f>
        <v>10.641</v>
      </c>
      <c r="G121" s="141">
        <f>ROUND((G$123-IF($I$1="Yes",G$260,0)-IF($L$1="Yes",G$291,0))*Data!F$144/(SUM(Data!F$142:F$145)-SUM(Data!F$107,Data!F$146,Data!F$163)),3)+IF($L$1="Yes",G$291,0)</f>
        <v>11.723</v>
      </c>
      <c r="H121" s="141">
        <f>ROUND((H$123-IF($I$1="Yes",H$260,0)-IF($L$1="Yes",H$291,0))*Data!G$144/(SUM(Data!G$142:G$145)-SUM(Data!G$107,Data!G$146,Data!G$163)),3)+IF($L$1="Yes",H$291,0)</f>
        <v>13.106</v>
      </c>
      <c r="I121" s="141">
        <f>ROUND((I$123-IF($I$1="Yes",I$260,0)-IF($L$1="Yes",I$291,0))*Data!H$144/(SUM(Data!H$142:H$145)-SUM(Data!H$107,Data!H$146,Data!H$163)),3)+IF($L$1="Yes",I$291,0)</f>
        <v>14.649</v>
      </c>
      <c r="J121" s="141">
        <f>ROUND((J$123-IF($I$1="Yes",J$260,0)-IF($L$1="Yes",J$291,0))*Data!I$144/(SUM(Data!I$142:I$145)-SUM(Data!I$107,Data!I$146,Data!I$163)),3)+IF($L$1="Yes",J$291,0)</f>
        <v>16.353</v>
      </c>
      <c r="K121" s="98">
        <f>J$121*K$136/J$136</f>
        <v>17.451256624391494</v>
      </c>
      <c r="L121" s="98">
        <f aca="true" t="shared" si="59" ref="L121:T121">K$121*L$136/K$136</f>
        <v>18.62171263927048</v>
      </c>
      <c r="M121" s="98">
        <f t="shared" si="59"/>
        <v>19.86911443256761</v>
      </c>
      <c r="N121" s="98">
        <f t="shared" si="59"/>
        <v>21.19852041975609</v>
      </c>
      <c r="O121" s="98">
        <f t="shared" si="59"/>
        <v>22.615321556542344</v>
      </c>
      <c r="P121" s="98">
        <f t="shared" si="59"/>
        <v>24.125263200060925</v>
      </c>
      <c r="Q121" s="98">
        <f t="shared" si="59"/>
        <v>25.73446840722442</v>
      </c>
      <c r="R121" s="98">
        <f t="shared" si="59"/>
        <v>29.97119862759217</v>
      </c>
      <c r="S121" s="98">
        <f t="shared" si="59"/>
        <v>34.38431177169014</v>
      </c>
      <c r="T121" s="98">
        <f t="shared" si="59"/>
        <v>38.97718215853635</v>
      </c>
    </row>
    <row r="122" spans="1:20" ht="12.75">
      <c r="A122" s="50" t="s">
        <v>618</v>
      </c>
      <c r="B122" s="335"/>
      <c r="C122" s="94"/>
      <c r="D122" s="243">
        <f>ROUND(D$123*(Data!C$145-SUM(Data!C$107,Data!C$163))/(SUM(Data!C$142:C$145)-SUM(Data!C$107,Data!C$146,Data!C$163)),3)</f>
        <v>1.249</v>
      </c>
      <c r="E122" s="243">
        <f>ROUND(E$123*(Data!D$145-SUM(Data!D$107,Data!D$163))/(SUM(Data!D$142:D$145)-SUM(Data!D$107,Data!D$146,Data!D$163)),3)</f>
        <v>1.103</v>
      </c>
      <c r="F122" s="174">
        <f>ROUND((F$123-IF($I$1="Yes",F$260,0)-IF($L$1="Yes",F$291,0))*(Data!E$145-SUM(Data!E$107,Data!E$163))/(SUM(Data!E$142:E$145)-SUM(Data!E$107,Data!E$146,Data!E$163)),3)</f>
        <v>1.54</v>
      </c>
      <c r="G122" s="174">
        <f>ROUND((G$123-IF($I$1="Yes",G$260,0)-IF($L$1="Yes",G$291,0))*(Data!F$145-SUM(Data!F$107,Data!F$163))/(SUM(Data!F$142:F$145)-SUM(Data!F$107,Data!F$146,Data!F$163)),3)</f>
        <v>0.958</v>
      </c>
      <c r="H122" s="174">
        <f>ROUND((H$123-IF($I$1="Yes",H$260,0)-IF($L$1="Yes",H$291,0))*(Data!G$145-SUM(Data!G$107,Data!G$163))/(SUM(Data!G$142:G$145)-SUM(Data!G$107,Data!G$146,Data!G$163)),3)</f>
        <v>0.978</v>
      </c>
      <c r="I122" s="174">
        <f>ROUND((I$123-IF($I$1="Yes",I$260,0)-IF($L$1="Yes",I$291,0))*(Data!H$145-SUM(Data!H$107,Data!H$163))/(SUM(Data!H$142:H$145)-SUM(Data!H$107,Data!H$146,Data!H$163)),3)</f>
        <v>1.171</v>
      </c>
      <c r="J122" s="174">
        <f>ROUND((J$123-IF($I$1="Yes",J$260,0)-IF($L$1="Yes",J$291,0))*(Data!I$145-SUM(Data!I$107,Data!I$163))/(SUM(Data!I$142:I$145)-SUM(Data!I$107,Data!I$146,Data!I$163)),3)</f>
        <v>1.223</v>
      </c>
      <c r="K122" s="106">
        <f aca="true" t="shared" si="60" ref="K122:T122">J$122*(1+K$206)</f>
        <v>1.2463005290846783</v>
      </c>
      <c r="L122" s="106">
        <f t="shared" si="60"/>
        <v>1.2712265396663718</v>
      </c>
      <c r="M122" s="106">
        <f t="shared" si="60"/>
        <v>1.2966510704596992</v>
      </c>
      <c r="N122" s="106">
        <f t="shared" si="60"/>
        <v>1.3225840918688931</v>
      </c>
      <c r="O122" s="106">
        <f t="shared" si="60"/>
        <v>1.349035773706271</v>
      </c>
      <c r="P122" s="106">
        <f t="shared" si="60"/>
        <v>1.3760164891803965</v>
      </c>
      <c r="Q122" s="106">
        <f t="shared" si="60"/>
        <v>1.4035368189640045</v>
      </c>
      <c r="R122" s="106">
        <f t="shared" si="60"/>
        <v>1.4316075553432845</v>
      </c>
      <c r="S122" s="106">
        <f t="shared" si="60"/>
        <v>1.4602397064501502</v>
      </c>
      <c r="T122" s="106">
        <f t="shared" si="60"/>
        <v>1.4894445005791532</v>
      </c>
    </row>
    <row r="123" spans="1:20" ht="12.75">
      <c r="A123" s="46" t="s">
        <v>374</v>
      </c>
      <c r="B123" s="335"/>
      <c r="C123" s="94"/>
      <c r="D123" s="96">
        <f>Data!C$108-Data!C$190</f>
        <v>34.29</v>
      </c>
      <c r="E123" s="96">
        <f>Data!D$108-Data!D$190</f>
        <v>39.448</v>
      </c>
      <c r="F123" s="175">
        <f>Data!E$108-Data!E$190+IF($I$1="Yes",F$260,0)+IF($L$1="Yes",F$291,0)</f>
        <v>50.870999999999995</v>
      </c>
      <c r="G123" s="175">
        <f>Data!F$108-Data!F$190+IF($I$1="Yes",G$260,0)+IF($L$1="Yes",G$291,0)</f>
        <v>47.562999999999995</v>
      </c>
      <c r="H123" s="175">
        <f>Data!G$108-Data!G$190+IF($I$1="Yes",H$260,0)+IF($L$1="Yes",H$291,0)</f>
        <v>48.113</v>
      </c>
      <c r="I123" s="175">
        <f>Data!H$108-Data!H$190+IF($I$1="Yes",I$260,0)+IF($L$1="Yes",I$291,0)</f>
        <v>45.876</v>
      </c>
      <c r="J123" s="175">
        <f>Data!I$108-Data!I$190+IF($I$1="Yes",J$260,0)+IF($L$1="Yes",J$291,0)</f>
        <v>45.090999999999994</v>
      </c>
      <c r="K123" s="63">
        <f>SUM(K$119:K$122)</f>
        <v>46.736771428018216</v>
      </c>
      <c r="L123" s="63">
        <f aca="true" t="shared" si="61" ref="L123:T123">SUM(L$119:L$122)</f>
        <v>48.492937738969744</v>
      </c>
      <c r="M123" s="63">
        <f t="shared" si="61"/>
        <v>50.33776403426086</v>
      </c>
      <c r="N123" s="63">
        <f t="shared" si="61"/>
        <v>52.27654301348319</v>
      </c>
      <c r="O123" s="63">
        <f t="shared" si="61"/>
        <v>54.31490460214399</v>
      </c>
      <c r="P123" s="63">
        <f t="shared" si="61"/>
        <v>56.45883790657461</v>
      </c>
      <c r="Q123" s="63">
        <f t="shared" si="61"/>
        <v>58.71471460786838</v>
      </c>
      <c r="R123" s="63">
        <f t="shared" si="61"/>
        <v>63.61104975224901</v>
      </c>
      <c r="S123" s="63">
        <f t="shared" si="61"/>
        <v>68.69695991884012</v>
      </c>
      <c r="T123" s="63">
        <f t="shared" si="61"/>
        <v>73.97608326862932</v>
      </c>
    </row>
    <row r="124" spans="1:20" ht="12.75">
      <c r="A124" s="220" t="s">
        <v>722</v>
      </c>
      <c r="B124" s="335"/>
      <c r="C124" s="94"/>
      <c r="D124" s="94">
        <f>ROUND((D$126-D$123)*SUM(Data!C$147:C$149,-Data!C$150,-Data!C$152*2/3)/SUM(Data!C$147:C$149,-Data!C$150,Data!C$151,-Data!C$152),3)</f>
        <v>8.43</v>
      </c>
      <c r="E124" s="94">
        <f>ROUND((E$126-E$123)*SUM(Data!D$147:D$149,-Data!D$150,-Data!D$152*2/3)/SUM(Data!D$147:D$149,-Data!D$150,Data!D$151,-Data!D$152),3)</f>
        <v>9.891</v>
      </c>
      <c r="F124" s="141">
        <f>ROUND((F$126-F$123)*SUM(Data!E$147:E$149,-Data!E$150,-Data!E$152*2/3)/SUM(Data!E$147:E$149,-Data!E$150,Data!E$151,-Data!E$152),3)</f>
        <v>8.975</v>
      </c>
      <c r="G124" s="141">
        <f>ROUND((G$126-G$123)*SUM(Data!F$147:F$149,-Data!F$150,-Data!F$152*2/3)/SUM(Data!F$147:F$149,-Data!F$150,Data!F$151,-Data!F$152),3)</f>
        <v>8.958</v>
      </c>
      <c r="H124" s="141">
        <f>ROUND((H$126-H$123)*SUM(Data!G$147:G$149,-Data!G$150,-Data!G$152*2/3)/SUM(Data!G$147:G$149,-Data!G$150,Data!G$151,-Data!G$152),3)</f>
        <v>9.282</v>
      </c>
      <c r="I124" s="141">
        <f>ROUND((I$126-I$123)*SUM(Data!H$147:H$149,-Data!H$150,-Data!H$152*2/3)/SUM(Data!H$147:H$149,-Data!H$150,Data!H$151,-Data!H$152),3)</f>
        <v>10.421</v>
      </c>
      <c r="J124" s="141">
        <f>ROUND((J$126-J$123)*SUM(Data!I$147:I$149,-Data!I$150,-Data!I$152*2/3)/SUM(Data!I$147:I$149,-Data!I$150,Data!I$151,-Data!I$152),3)</f>
        <v>11.652</v>
      </c>
      <c r="K124" s="98">
        <f aca="true" t="shared" si="62" ref="K124:T124">J$124*(1+K$204)</f>
        <v>12.327765183289051</v>
      </c>
      <c r="L124" s="98">
        <f t="shared" si="62"/>
        <v>13.054391694415175</v>
      </c>
      <c r="M124" s="98">
        <f t="shared" si="62"/>
        <v>13.785747288745505</v>
      </c>
      <c r="N124" s="98">
        <f t="shared" si="62"/>
        <v>14.396389250610051</v>
      </c>
      <c r="O124" s="98">
        <f t="shared" si="62"/>
        <v>15.009704706638827</v>
      </c>
      <c r="P124" s="98">
        <f t="shared" si="62"/>
        <v>15.645732705939611</v>
      </c>
      <c r="Q124" s="98">
        <f t="shared" si="62"/>
        <v>16.3058592044853</v>
      </c>
      <c r="R124" s="98">
        <f t="shared" si="62"/>
        <v>16.987804644462393</v>
      </c>
      <c r="S124" s="98">
        <f t="shared" si="62"/>
        <v>17.70146297802077</v>
      </c>
      <c r="T124" s="98">
        <f t="shared" si="62"/>
        <v>18.442731311395463</v>
      </c>
    </row>
    <row r="125" spans="1:20" ht="12.75">
      <c r="A125" s="220" t="s">
        <v>723</v>
      </c>
      <c r="B125" s="335"/>
      <c r="C125" s="94"/>
      <c r="D125" s="243">
        <f>ROUND((D$126-D$123)*SUM(Data!C$151,-Data!C$152*1/3)/SUM(Data!C$147:C$149,-Data!C$150,Data!C$151,-Data!C$152),3)</f>
        <v>2.986</v>
      </c>
      <c r="E125" s="243">
        <f>ROUND((E$126-E$123)*SUM(Data!D$151,-Data!D$152*1/3)/SUM(Data!D$147:D$149,-Data!D$150,Data!D$151,-Data!D$152),3)</f>
        <v>4.814</v>
      </c>
      <c r="F125" s="174">
        <f>ROUND((F$126-F$123)*SUM(Data!E$151,-Data!E$152*1/3)/SUM(Data!E$147:E$149,-Data!E$150,Data!E$151,-Data!E$152),3)</f>
        <v>5.494</v>
      </c>
      <c r="G125" s="174">
        <f>ROUND((G$126-G$123)*SUM(Data!F$151,-Data!F$152*1/3)/SUM(Data!F$147:F$149,-Data!F$150,Data!F$151,-Data!F$152),3)</f>
        <v>5.346</v>
      </c>
      <c r="H125" s="174">
        <f>ROUND((H$126-H$123)*SUM(Data!G$151,-Data!G$152*1/3)/SUM(Data!G$147:G$149,-Data!G$150,Data!G$151,-Data!G$152),3)</f>
        <v>5.159</v>
      </c>
      <c r="I125" s="174">
        <f>ROUND((I$126-I$123)*SUM(Data!H$151,-Data!H$152*1/3)/SUM(Data!H$147:H$149,-Data!H$150,Data!H$151,-Data!H$152),3)</f>
        <v>5.312</v>
      </c>
      <c r="J125" s="174">
        <f>ROUND((J$126-J$123)*SUM(Data!I$151,-Data!I$152*1/3)/SUM(Data!I$147:I$149,-Data!I$150,Data!I$151,-Data!I$152),3)</f>
        <v>5.64</v>
      </c>
      <c r="K125" s="106">
        <f aca="true" t="shared" si="63" ref="K125:T125">J$125*(1+K$204)</f>
        <v>5.967095402827862</v>
      </c>
      <c r="L125" s="106">
        <f t="shared" si="63"/>
        <v>6.318809574021763</v>
      </c>
      <c r="M125" s="106">
        <f t="shared" si="63"/>
        <v>6.672812796818112</v>
      </c>
      <c r="N125" s="106">
        <f t="shared" si="63"/>
        <v>6.968386146021342</v>
      </c>
      <c r="O125" s="106">
        <f t="shared" si="63"/>
        <v>7.265253565520338</v>
      </c>
      <c r="P125" s="106">
        <f t="shared" si="63"/>
        <v>7.573114698034621</v>
      </c>
      <c r="Q125" s="106">
        <f t="shared" si="63"/>
        <v>7.89264039763964</v>
      </c>
      <c r="R125" s="106">
        <f t="shared" si="63"/>
        <v>8.222727273838645</v>
      </c>
      <c r="S125" s="106">
        <f t="shared" si="63"/>
        <v>8.568164366292237</v>
      </c>
      <c r="T125" s="106">
        <f t="shared" si="63"/>
        <v>8.926965722302644</v>
      </c>
    </row>
    <row r="126" spans="1:20" ht="12.75">
      <c r="A126" s="46" t="s">
        <v>376</v>
      </c>
      <c r="B126" s="335"/>
      <c r="C126" s="94"/>
      <c r="D126" s="96">
        <f>SUM(Data!C$57:C$58)</f>
        <v>45.706</v>
      </c>
      <c r="E126" s="96">
        <f>SUM(Data!D$57:D$58)</f>
        <v>54.153</v>
      </c>
      <c r="F126" s="175">
        <f>SUM(Data!E$57:E$58)+IF($I$1="Yes",F$260,0)+IF($L$1="Yes",F$291,0)</f>
        <v>65.34</v>
      </c>
      <c r="G126" s="175">
        <f>SUM(Data!F$57:F$58)+IF($I$1="Yes",G$260,0)+IF($L$1="Yes",G$291,0)</f>
        <v>61.867</v>
      </c>
      <c r="H126" s="175">
        <f>SUM(Data!G$57:G$58)+IF($I$1="Yes",H$260,0)+IF($L$1="Yes",H$291,0)</f>
        <v>62.554</v>
      </c>
      <c r="I126" s="175">
        <f>SUM(Data!H$57:H$58)+IF($I$1="Yes",I$260,0)+IF($L$1="Yes",I$291,0)</f>
        <v>61.609</v>
      </c>
      <c r="J126" s="175">
        <f>SUM(Data!I$57:I$58)+IF($I$1="Yes",J$260,0)+IF($L$1="Yes",J$291,0)</f>
        <v>62.383</v>
      </c>
      <c r="K126" s="63">
        <f>SUM(K$123:K$125)</f>
        <v>65.03163201413513</v>
      </c>
      <c r="L126" s="63">
        <f aca="true" t="shared" si="64" ref="L126:T126">SUM(L$123:L$125)</f>
        <v>67.86613900740667</v>
      </c>
      <c r="M126" s="63">
        <f t="shared" si="64"/>
        <v>70.79632411982448</v>
      </c>
      <c r="N126" s="63">
        <f t="shared" si="64"/>
        <v>73.6413184101146</v>
      </c>
      <c r="O126" s="63">
        <f t="shared" si="64"/>
        <v>76.58986287430315</v>
      </c>
      <c r="P126" s="63">
        <f t="shared" si="64"/>
        <v>79.67768531054884</v>
      </c>
      <c r="Q126" s="63">
        <f t="shared" si="64"/>
        <v>82.91321420999333</v>
      </c>
      <c r="R126" s="63">
        <f t="shared" si="64"/>
        <v>88.82158167055005</v>
      </c>
      <c r="S126" s="63">
        <f t="shared" si="64"/>
        <v>94.96658726315313</v>
      </c>
      <c r="T126" s="63">
        <f t="shared" si="64"/>
        <v>101.34578030232743</v>
      </c>
    </row>
    <row r="127" spans="1:20" ht="12.75">
      <c r="A127" s="46"/>
      <c r="B127" s="137"/>
      <c r="C127" s="94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</row>
    <row r="128" spans="1:20" ht="12.75">
      <c r="A128" s="145" t="s">
        <v>736</v>
      </c>
      <c r="B128" s="6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</row>
    <row r="129" spans="1:20" ht="12.75">
      <c r="A129" s="49" t="s">
        <v>143</v>
      </c>
      <c r="B129" s="57"/>
      <c r="C129" s="94"/>
      <c r="D129" s="170">
        <f>Data!C$170</f>
        <v>9.855</v>
      </c>
      <c r="E129" s="94">
        <f aca="true" t="shared" si="65" ref="E129:K129">D$136</f>
        <v>12.973</v>
      </c>
      <c r="F129" s="141">
        <f t="shared" si="65"/>
        <v>14.212000000000002</v>
      </c>
      <c r="G129" s="141">
        <f t="shared" si="65"/>
        <v>13.275</v>
      </c>
      <c r="H129" s="141">
        <f t="shared" si="65"/>
        <v>14.59</v>
      </c>
      <c r="I129" s="141">
        <f t="shared" si="65"/>
        <v>15.791</v>
      </c>
      <c r="J129" s="141">
        <f t="shared" si="65"/>
        <v>17.124</v>
      </c>
      <c r="K129" s="98">
        <f t="shared" si="65"/>
        <v>18.604</v>
      </c>
      <c r="L129" s="98">
        <f>K$136</f>
        <v>19.85343229011064</v>
      </c>
      <c r="M129" s="98">
        <f>L$136</f>
        <v>21.185002258973153</v>
      </c>
      <c r="N129" s="98">
        <f>M$136</f>
        <v>22.604109637588685</v>
      </c>
      <c r="O129" s="98">
        <f>N$136</f>
        <v>24.116509135274402</v>
      </c>
      <c r="P129" s="98">
        <f>O$136</f>
        <v>25.72833377593798</v>
      </c>
      <c r="Q129" s="98">
        <f>P$136</f>
        <v>27.44611976847878</v>
      </c>
      <c r="R129" s="98">
        <f>Q$136</f>
        <v>29.276833012169213</v>
      </c>
      <c r="S129" s="98">
        <f>R$136</f>
        <v>34.09675162158165</v>
      </c>
      <c r="T129" s="98">
        <f>S$136</f>
        <v>39.11733236718177</v>
      </c>
    </row>
    <row r="130" spans="1:20" ht="12.75">
      <c r="A130" s="220" t="s">
        <v>373</v>
      </c>
      <c r="B130" s="335"/>
      <c r="C130" s="94"/>
      <c r="D130" s="94">
        <f>Data!C$171</f>
        <v>2.0490000000000004</v>
      </c>
      <c r="E130" s="94">
        <f>Data!D$171</f>
        <v>2.104</v>
      </c>
      <c r="F130" s="141">
        <f>Data!E$171+IF($L$1="Yes",F$289,0)</f>
        <v>2.242</v>
      </c>
      <c r="G130" s="141">
        <f>Data!F$171+IF($L$1="Yes",G$289,0)</f>
        <v>0.25</v>
      </c>
      <c r="H130" s="141">
        <f>Data!G$171+IF($L$1="Yes",H$289,0)</f>
        <v>0</v>
      </c>
      <c r="I130" s="141">
        <f>Data!H$171+IF($L$1="Yes",I$289,0)</f>
        <v>0</v>
      </c>
      <c r="J130" s="141">
        <f>Data!I$171+IF($L$1="Yes",J$289,0)</f>
        <v>0</v>
      </c>
      <c r="K130" s="98">
        <f>IF($L$1="Yes",IF(ReadyReckoner!N$59=0,ReadyReckoner!O$59,J$130*ReadyReckoner!O$59/ReadyReckoner!N$59),IF(Tracks!N$6=0,Tracks!O$6,J$130*Tracks!O$6/Tracks!N$6))</f>
        <v>0</v>
      </c>
      <c r="L130" s="98">
        <f>IF($L$1="Yes",IF(ReadyReckoner!O$59=0,ReadyReckoner!P$59,K$130*ReadyReckoner!P$59/ReadyReckoner!O$59),IF(Tracks!O$6=0,Tracks!P$6,K$130*Tracks!P$6/Tracks!O$6))</f>
        <v>0</v>
      </c>
      <c r="M130" s="98">
        <f>IF($L$1="Yes",IF(ReadyReckoner!P$59=0,ReadyReckoner!Q$59,L$130*ReadyReckoner!Q$59/ReadyReckoner!P$59),IF(Tracks!P$6=0,Tracks!Q$6,L$130*Tracks!Q$6/Tracks!P$6))</f>
        <v>0</v>
      </c>
      <c r="N130" s="98">
        <f>IF($L$1="Yes",IF(ReadyReckoner!Q$59=0,ReadyReckoner!R$59,M$130*ReadyReckoner!R$59/ReadyReckoner!Q$59),IF(Tracks!Q$6=0,Tracks!R$6,M$130*Tracks!R$6/Tracks!Q$6))</f>
        <v>0</v>
      </c>
      <c r="O130" s="98">
        <f>IF($L$1="Yes",IF(ReadyReckoner!R$59=0,ReadyReckoner!S$59,N$130*ReadyReckoner!S$59/ReadyReckoner!R$59),IF(Tracks!R$6=0,Tracks!S$6,N$130*Tracks!S$6/Tracks!R$6))</f>
        <v>0</v>
      </c>
      <c r="P130" s="98">
        <f>IF($L$1="Yes",IF(ReadyReckoner!S$59=0,ReadyReckoner!T$59,O$130*ReadyReckoner!T$59/ReadyReckoner!S$59),IF(Tracks!S$6=0,Tracks!T$6,O$130*Tracks!T$6/Tracks!S$6))</f>
        <v>0</v>
      </c>
      <c r="Q130" s="98">
        <f>IF($L$1="Yes",IF(ReadyReckoner!T$59=0,ReadyReckoner!U$59,P$130*ReadyReckoner!U$59/ReadyReckoner!T$59),IF(Tracks!T$6=0,Tracks!U$6,P$130*Tracks!U$6/Tracks!T$6))</f>
        <v>0</v>
      </c>
      <c r="R130" s="98">
        <f>IF($L$1="Yes",IF(ReadyReckoner!U$59=0,ReadyReckoner!V$59,Q$130*ReadyReckoner!V$59/ReadyReckoner!U$59),IF(Tracks!U$6=0,Tracks!V$6,Q$130*Tracks!V$6/Tracks!U$6))</f>
        <v>2.780079767097238</v>
      </c>
      <c r="S130" s="98">
        <f>IF($L$1="Yes",IF(ReadyReckoner!V$59=0,ReadyReckoner!W$59,R$130*ReadyReckoner!W$59/ReadyReckoner!V$59),IF(Tracks!V$6=0,Tracks!W$6,R$130*Tracks!W$6/Tracks!V$6))</f>
        <v>2.6636523872256745</v>
      </c>
      <c r="T130" s="98">
        <f>IF($L$1="Yes",IF(ReadyReckoner!W$59=0,ReadyReckoner!X$59,S$130*ReadyReckoner!X$59/ReadyReckoner!W$59),IF(Tracks!W$6=0,Tracks!X$6,S$130*Tracks!X$6/Tracks!W$6))</f>
        <v>2.538321823783427</v>
      </c>
    </row>
    <row r="131" spans="1:20" ht="12.75">
      <c r="A131" s="220" t="s">
        <v>731</v>
      </c>
      <c r="B131" s="335"/>
      <c r="C131" s="94"/>
      <c r="D131" s="94">
        <f>Data!C$166</f>
        <v>0.436</v>
      </c>
      <c r="E131" s="94">
        <f>Data!D$166</f>
        <v>0.385</v>
      </c>
      <c r="F131" s="141">
        <f>Data!E$166+IF($L$1="Yes",F$282,0)</f>
        <v>0.399</v>
      </c>
      <c r="G131" s="141">
        <f>Data!F$166+IF($L$1="Yes",G$282,0)</f>
        <v>0.397</v>
      </c>
      <c r="H131" s="141">
        <f>Data!G$166+IF($L$1="Yes",H$282,0)</f>
        <v>0.424</v>
      </c>
      <c r="I131" s="141">
        <f>Data!H$166+IF($L$1="Yes",I$282,0)</f>
        <v>0.458</v>
      </c>
      <c r="J131" s="141">
        <f>Data!I$166+IF($L$1="Yes",J$282,0)</f>
        <v>0.498</v>
      </c>
      <c r="K131" s="98">
        <f>IF($L$1="Yes",IF(ReadyReckoner!N$60=0,(J$131/SUM(J$131,J$132,-J$134))*ReadyReckoner!O$60,J$131*ReadyReckoner!O$60/ReadyReckoner!N$60),J$131*Tracks!O$7/Tracks!N$7)</f>
        <v>0.42627899361702126</v>
      </c>
      <c r="L131" s="98">
        <f>IF($L$1="Yes",IF(ReadyReckoner!O$60=0,(K$131/SUM(K$131,K$132,-K$134))*ReadyReckoner!P$60,K$131*ReadyReckoner!P$60/ReadyReckoner!O$60),K$131*Tracks!P$7/Tracks!O$7)</f>
        <v>0.45430257465740426</v>
      </c>
      <c r="M131" s="98">
        <f>IF($L$1="Yes",IF(ReadyReckoner!P$60=0,(L$131/SUM(L$131,L$132,-L$134))*ReadyReckoner!Q$60,L$131*ReadyReckoner!Q$60/ReadyReckoner!P$60),L$131*Tracks!Q$7/Tracks!P$7)</f>
        <v>0.484168425915382</v>
      </c>
      <c r="N131" s="98">
        <f>IF($L$1="Yes",IF(ReadyReckoner!Q$60=0,(M$131/SUM(M$131,M$132,-M$134))*ReadyReckoner!R$60,M$131*ReadyReckoner!R$60/ReadyReckoner!Q$60),M$131*Tracks!R$7/Tracks!Q$7)</f>
        <v>0.5159976582350592</v>
      </c>
      <c r="O131" s="98">
        <f>IF($L$1="Yes",IF(ReadyReckoner!R$60=0,(N$131/SUM(N$131,N$132,-N$134))*ReadyReckoner!S$60,N$131*ReadyReckoner!S$60/ReadyReckoner!R$60),N$131*Tracks!S$7/Tracks!R$7)</f>
        <v>0.549919344287432</v>
      </c>
      <c r="P131" s="98">
        <f>IF($L$1="Yes",IF(ReadyReckoner!S$60=0,(O$131/SUM(O$131,O$132,-O$134))*ReadyReckoner!T$60,O$131*ReadyReckoner!T$60/ReadyReckoner!S$60),O$131*Tracks!T$7/Tracks!S$7)</f>
        <v>0.5860710419808878</v>
      </c>
      <c r="Q131" s="98">
        <f>IF($L$1="Yes",IF(ReadyReckoner!T$60=0,(P$131/SUM(P$131,P$132,-P$134))*ReadyReckoner!U$60,P$131*ReadyReckoner!U$60/ReadyReckoner!T$60),P$131*Tracks!U$7/Tracks!T$7)</f>
        <v>0.6245993522807113</v>
      </c>
      <c r="R131" s="98">
        <f>IF($L$1="Yes",IF(ReadyReckoner!U$60=0,(Q$131/SUM(Q$131,Q$132,-Q$134))*ReadyReckoner!V$60,Q$131*ReadyReckoner!V$60/ReadyReckoner!U$60),Q$131*Tracks!V$7/Tracks!U$7)</f>
        <v>0.6959484365223462</v>
      </c>
      <c r="S131" s="98">
        <f>IF($L$1="Yes",IF(ReadyReckoner!V$60=0,(R$131/SUM(R$131,R$132,-R$134))*ReadyReckoner!W$60,R$131*ReadyReckoner!W$60/ReadyReckoner!V$60),R$131*Tracks!W$7/Tracks!V$7)</f>
        <v>0.8041324500636258</v>
      </c>
      <c r="T131" s="98">
        <f>IF($L$1="Yes",IF(ReadyReckoner!W$60=0,(S$131/SUM(S$131,S$132,-S$134))*ReadyReckoner!X$60,S$131*ReadyReckoner!X$60/ReadyReckoner!W$60),S$131*Tracks!X$7/Tracks!W$7)</f>
        <v>0.9166637485851877</v>
      </c>
    </row>
    <row r="132" spans="1:20" ht="12.75">
      <c r="A132" s="220" t="s">
        <v>735</v>
      </c>
      <c r="B132" s="335"/>
      <c r="C132" s="94"/>
      <c r="D132" s="94">
        <f>Data!C$169</f>
        <v>1.313</v>
      </c>
      <c r="E132" s="94">
        <f>Data!D$169</f>
        <v>-0.995</v>
      </c>
      <c r="F132" s="141">
        <f>Data!E$169+IF($L$1="Yes",F$283,0)</f>
        <v>-4.582</v>
      </c>
      <c r="G132" s="141">
        <f>Data!F$169+IF($L$1="Yes",G$283,0)</f>
        <v>1.129</v>
      </c>
      <c r="H132" s="141">
        <f>Data!G$169+IF($L$1="Yes",H$283,0)</f>
        <v>1.277</v>
      </c>
      <c r="I132" s="141">
        <f>Data!H$169+IF($L$1="Yes",I$283,0)</f>
        <v>1.41</v>
      </c>
      <c r="J132" s="141">
        <f>Data!I$169+IF($L$1="Yes",J$283,0)</f>
        <v>1.541</v>
      </c>
      <c r="K132" s="98">
        <f>IF($L$1="Yes",IF(ReadyReckoner!N$60=0,(J$132/SUM(J$131,J$132,-J$134))*ReadyReckoner!O$60,J$132*ReadyReckoner!O$60/ReadyReckoner!N$60),J$132*Tracks!O$7/Tracks!N$7)</f>
        <v>1.319068130851064</v>
      </c>
      <c r="L132" s="98">
        <f>IF($L$1="Yes",IF(ReadyReckoner!O$60=0,(K$132/SUM(K$131,K$132,-K$134))*ReadyReckoner!P$60,K$132*ReadyReckoner!P$60/ReadyReckoner!O$60),K$132*Tracks!P$7/Tracks!O$7)</f>
        <v>1.4057836697732127</v>
      </c>
      <c r="M132" s="98">
        <f>IF($L$1="Yes",IF(ReadyReckoner!P$60=0,(L$132/SUM(L$131,L$132,-L$134))*ReadyReckoner!Q$60,L$132*ReadyReckoner!Q$60/ReadyReckoner!P$60),L$132*Tracks!Q$7/Tracks!P$7)</f>
        <v>1.4981998882241037</v>
      </c>
      <c r="N132" s="98">
        <f>IF($L$1="Yes",IF(ReadyReckoner!Q$60=0,(M$132/SUM(M$131,M$132,-M$134))*ReadyReckoner!R$60,M$132*ReadyReckoner!R$60/ReadyReckoner!Q$60),M$132*Tracks!R$7/Tracks!Q$7)</f>
        <v>1.596691548875956</v>
      </c>
      <c r="O132" s="98">
        <f>IF($L$1="Yes",IF(ReadyReckoner!R$60=0,(N$132/SUM(N$131,N$132,-N$134))*ReadyReckoner!S$60,N$132*ReadyReckoner!S$60/ReadyReckoner!R$60),N$132*Tracks!S$7/Tracks!R$7)</f>
        <v>1.7016580512990616</v>
      </c>
      <c r="P132" s="98">
        <f>IF($L$1="Yes",IF(ReadyReckoner!S$60=0,(O$132/SUM(O$131,O$132,-O$134))*ReadyReckoner!T$60,O$132*ReadyReckoner!T$60/ReadyReckoner!S$60),O$132*Tracks!T$7/Tracks!S$7)</f>
        <v>1.8135250515914618</v>
      </c>
      <c r="Q132" s="98">
        <f>IF($L$1="Yes",IF(ReadyReckoner!T$60=0,(P$132/SUM(P$131,P$132,-P$134))*ReadyReckoner!U$60,P$132*ReadyReckoner!U$60/ReadyReckoner!T$60),P$132*Tracks!U$7/Tracks!T$7)</f>
        <v>1.9327461884830843</v>
      </c>
      <c r="R132" s="98">
        <f>IF($L$1="Yes",IF(ReadyReckoner!U$60=0,(Q$132/SUM(Q$131,Q$132,-Q$134))*ReadyReckoner!V$60,Q$132*ReadyReckoner!V$60/ReadyReckoner!U$60),Q$132*Tracks!V$7/Tracks!U$7)</f>
        <v>2.1535271901223605</v>
      </c>
      <c r="S132" s="98">
        <f>IF($L$1="Yes",IF(ReadyReckoner!V$60=0,(R$132/SUM(R$131,R$132,-R$134))*ReadyReckoner!W$60,R$132*ReadyReckoner!W$60/ReadyReckoner!V$60),R$132*Tracks!W$7/Tracks!V$7)</f>
        <v>2.4882893685703764</v>
      </c>
      <c r="T132" s="98">
        <f>IF($L$1="Yes",IF(ReadyReckoner!W$60=0,(S$132/SUM(S$131,S$132,-S$134))*ReadyReckoner!X$60,S$132*ReadyReckoner!X$60/ReadyReckoner!W$60),S$132*Tracks!X$7/Tracks!W$7)</f>
        <v>2.8365036878911134</v>
      </c>
    </row>
    <row r="133" spans="1:20" ht="12.75">
      <c r="A133" s="227" t="s">
        <v>733</v>
      </c>
      <c r="B133" s="335"/>
      <c r="C133" s="94"/>
      <c r="D133" s="94">
        <f>Data!C$167</f>
        <v>-0.052</v>
      </c>
      <c r="E133" s="94">
        <f>Data!D$167</f>
        <v>0.034</v>
      </c>
      <c r="F133" s="141">
        <f>Data!E$167+IF($L$1="Yes",F$284*Data!E$167/Data!E$175,0)</f>
        <v>-0.84</v>
      </c>
      <c r="G133" s="141">
        <f>Data!F$167+IF($L$1="Yes",G$284*Data!F$167/Data!F$175,0)</f>
        <v>0.461</v>
      </c>
      <c r="H133" s="141">
        <f>Data!G$167+IF($L$1="Yes",H$284*Data!G$167/Data!G$175,0)</f>
        <v>0.5</v>
      </c>
      <c r="I133" s="141">
        <f>Data!H$167+IF($L$1="Yes",I$284*Data!H$167/Data!H$175,0)</f>
        <v>0.37</v>
      </c>
      <c r="J133" s="141">
        <f>Data!I$167+IF($L$1="Yes",J$284*Data!I$167/Data!I$175,0)</f>
        <v>0.159</v>
      </c>
      <c r="K133" s="98">
        <f>IF($L$1="Yes",IF(ReadyReckoner!N$61=0,ReadyReckoner!O$61,J$133*ReadyReckoner!O$61/ReadyReckoner!N$61),J$133*Tracks!O$8/Tracks!N$8)</f>
        <v>0.15352206839999996</v>
      </c>
      <c r="L133" s="98">
        <f>IF($L$1="Yes",IF(ReadyReckoner!O$61=0,ReadyReckoner!P$61,K$133*ReadyReckoner!P$61/ReadyReckoner!O$61),K$133*Tracks!P$8/Tracks!O$8)</f>
        <v>0.16361460917661597</v>
      </c>
      <c r="M133" s="98">
        <f>IF($L$1="Yes",IF(ReadyReckoner!P$61=0,ReadyReckoner!Q$61,L$133*ReadyReckoner!Q$61/ReadyReckoner!P$61),L$133*Tracks!Q$8/Tracks!P$8)</f>
        <v>0.17437063358388669</v>
      </c>
      <c r="N133" s="98">
        <f>IF($L$1="Yes",IF(ReadyReckoner!Q$61=0,ReadyReckoner!R$61,M$133*ReadyReckoner!R$61/ReadyReckoner!Q$61),M$133*Tracks!R$8/Tracks!Q$8)</f>
        <v>0.18583375903569138</v>
      </c>
      <c r="O133" s="98">
        <f>IF($L$1="Yes",IF(ReadyReckoner!R$61=0,ReadyReckoner!S$61,N$133*ReadyReckoner!S$61/ReadyReckoner!R$61),N$133*Tracks!S$8/Tracks!R$8)</f>
        <v>0.19805047035469775</v>
      </c>
      <c r="P133" s="98">
        <f>IF($L$1="Yes",IF(ReadyReckoner!S$61=0,ReadyReckoner!T$61,O$133*ReadyReckoner!T$61/ReadyReckoner!S$61),O$133*Tracks!T$8/Tracks!S$8)</f>
        <v>0.2110703082758156</v>
      </c>
      <c r="Q133" s="98">
        <f>IF($L$1="Yes",IF(ReadyReckoner!T$61=0,ReadyReckoner!U$61,P$133*ReadyReckoner!U$61/ReadyReckoner!T$61),P$133*Tracks!U$8/Tracks!T$8)</f>
        <v>0.2249460703418677</v>
      </c>
      <c r="R133" s="98">
        <f>IF($L$1="Yes",IF(ReadyReckoner!U$61=0,ReadyReckoner!V$61,Q$133*ReadyReckoner!V$61/ReadyReckoner!U$61),Q$133*Tracks!V$8/Tracks!U$8)</f>
        <v>0.25064205619910807</v>
      </c>
      <c r="S133" s="98">
        <f>IF($L$1="Yes",IF(ReadyReckoner!V$61=0,ReadyReckoner!W$61,R$133*ReadyReckoner!W$61/ReadyReckoner!V$61),R$133*Tracks!W$8/Tracks!V$8)</f>
        <v>0.28960394213616747</v>
      </c>
      <c r="T133" s="98">
        <f>IF($L$1="Yes",IF(ReadyReckoner!W$61=0,ReadyReckoner!X$61,S$133*ReadyReckoner!X$61/ReadyReckoner!W$61),S$133*Tracks!X$8/Tracks!W$8)</f>
        <v>0.3301314791892582</v>
      </c>
    </row>
    <row r="134" spans="1:20" ht="12.75">
      <c r="A134" s="227" t="s">
        <v>732</v>
      </c>
      <c r="B134" s="335"/>
      <c r="C134" s="94"/>
      <c r="D134" s="94">
        <f>Data!C$168</f>
        <v>0.707</v>
      </c>
      <c r="E134" s="94">
        <f>Data!D$168</f>
        <v>0.237</v>
      </c>
      <c r="F134" s="141">
        <f>Data!E$168+IF($L$1="Yes",F$281,0)</f>
        <v>-0.083</v>
      </c>
      <c r="G134" s="141">
        <f>Data!F$168+IF($L$1="Yes",G$281,0)</f>
        <v>0</v>
      </c>
      <c r="H134" s="141">
        <f>Data!G$168+IF($L$1="Yes",H$281,0)</f>
        <v>0</v>
      </c>
      <c r="I134" s="141">
        <f>Data!H$168+IF($L$1="Yes",I$281,0)</f>
        <v>0.165</v>
      </c>
      <c r="J134" s="141">
        <f>Data!I$168+IF($L$1="Yes",J$281,0)</f>
        <v>0.4</v>
      </c>
      <c r="K134" s="98">
        <f>IF($L$1="Yes",IF(ReadyReckoner!N$60=0,-(-J$134/SUM(J$131,J$132,-J$134))*ReadyReckoner!O$60,J$134*ReadyReckoner!O$60/ReadyReckoner!N$60),J$134*Tracks!O$7/Tracks!N$7)</f>
        <v>0.34239276595744683</v>
      </c>
      <c r="L134" s="98">
        <f>IF($L$1="Yes",IF(ReadyReckoner!O$60=0,-(-K$134/SUM(K$131,K$132,-K$134))*ReadyReckoner!P$60,K$134*ReadyReckoner!P$60/ReadyReckoner!O$60),K$134*Tracks!P$7/Tracks!O$7)</f>
        <v>0.3649016663914894</v>
      </c>
      <c r="M134" s="98">
        <f>IF($L$1="Yes",IF(ReadyReckoner!P$60=0,-(-L$134/SUM(L$131,L$132,-L$134))*ReadyReckoner!Q$60,L$134*ReadyReckoner!Q$60/ReadyReckoner!P$60),L$134*Tracks!Q$7/Tracks!P$7)</f>
        <v>0.3888903019400659</v>
      </c>
      <c r="N134" s="98">
        <f>IF($L$1="Yes",IF(ReadyReckoner!Q$60=0,-(-M$134/SUM(M$131,M$132,-M$134))*ReadyReckoner!R$60,M$134*ReadyReckoner!R$60/ReadyReckoner!Q$60),M$134*Tracks!R$7/Tracks!Q$7)</f>
        <v>0.4144559503896058</v>
      </c>
      <c r="O134" s="98">
        <f>IF($L$1="Yes",IF(ReadyReckoner!R$60=0,-(-N$134/SUM(N$131,N$132,-N$134))*ReadyReckoner!S$60,N$134*ReadyReckoner!S$60/ReadyReckoner!R$60),N$134*Tracks!S$7/Tracks!R$7)</f>
        <v>0.44170228456821853</v>
      </c>
      <c r="P134" s="98">
        <f>IF($L$1="Yes",IF(ReadyReckoner!S$60=0,-(-O$134/SUM(O$131,O$132,-O$134))*ReadyReckoner!T$60,O$134*ReadyReckoner!T$60/ReadyReckoner!S$60),O$134*Tracks!T$7/Tracks!S$7)</f>
        <v>0.4707397927557332</v>
      </c>
      <c r="Q134" s="98">
        <f>IF($L$1="Yes",IF(ReadyReckoner!T$60=0,-(-P$134/SUM(P$131,P$132,-P$134))*ReadyReckoner!U$60,P$134*ReadyReckoner!U$60/ReadyReckoner!T$60),P$134*Tracks!U$7/Tracks!T$7)</f>
        <v>0.501686226731495</v>
      </c>
      <c r="R134" s="98">
        <f>IF($L$1="Yes",IF(ReadyReckoner!U$60=0,-(-Q$134/SUM(Q$131,Q$132,-Q$134))*ReadyReckoner!V$60,Q$134*ReadyReckoner!V$60/ReadyReckoner!U$60),Q$134*Tracks!V$7/Tracks!U$7)</f>
        <v>0.5589947281303985</v>
      </c>
      <c r="S134" s="98">
        <f>IF($L$1="Yes",IF(ReadyReckoner!V$60=0,-(-R$134/SUM(R$131,R$132,-R$134))*ReadyReckoner!W$60,R$134*ReadyReckoner!W$60/ReadyReckoner!V$60),R$134*Tracks!W$7/Tracks!V$7)</f>
        <v>0.6458895181233942</v>
      </c>
      <c r="T134" s="98">
        <f>IF($L$1="Yes",IF(ReadyReckoner!W$60=0,-(-S$134/SUM(S$131,S$132,-S$134))*ReadyReckoner!X$60,S$134*ReadyReckoner!X$60/ReadyReckoner!W$60),S$134*Tracks!X$7/Tracks!W$7)</f>
        <v>0.7362761032812752</v>
      </c>
    </row>
    <row r="135" spans="1:20" ht="12.75">
      <c r="A135" s="220" t="s">
        <v>734</v>
      </c>
      <c r="B135" s="335"/>
      <c r="C135" s="94"/>
      <c r="D135" s="243">
        <f>Data!C$172</f>
        <v>-0.025</v>
      </c>
      <c r="E135" s="243">
        <f>Data!D$172</f>
        <v>0.016</v>
      </c>
      <c r="F135" s="174">
        <f>Data!E$172+IF($L$1="Yes",F$290,0)</f>
        <v>0.081</v>
      </c>
      <c r="G135" s="174">
        <f>Data!F$172+IF($L$1="Yes",G$290,0)</f>
        <v>0</v>
      </c>
      <c r="H135" s="174">
        <f>Data!G$172+IF($L$1="Yes",H$290,0)</f>
        <v>0</v>
      </c>
      <c r="I135" s="174">
        <f>Data!H$172+IF($L$1="Yes",I$290,0)</f>
        <v>0</v>
      </c>
      <c r="J135" s="174">
        <f>Data!I$172+IF($L$1="Yes",J$290,0)</f>
        <v>0</v>
      </c>
      <c r="K135" s="106">
        <f>IF(K$2="Proj Yr1",0,J$135)</f>
        <v>0</v>
      </c>
      <c r="L135" s="106">
        <f>IF(L$2="Proj Yr1",0,K$135)</f>
        <v>0</v>
      </c>
      <c r="M135" s="106">
        <f>IF(M$2="Proj Yr1",0,L$135)</f>
        <v>0</v>
      </c>
      <c r="N135" s="106">
        <f>IF(N$2="Proj Yr1",0,M$135)</f>
        <v>0</v>
      </c>
      <c r="O135" s="106">
        <f>IF(O$2="Proj Yr1",0,N$135)</f>
        <v>0</v>
      </c>
      <c r="P135" s="106">
        <f>IF(P$2="Proj Yr1",0,O$135)</f>
        <v>0</v>
      </c>
      <c r="Q135" s="106">
        <f>IF(Q$2="Proj Yr1",0,P$135)</f>
        <v>0</v>
      </c>
      <c r="R135" s="106">
        <f>IF(R$2="Proj Yr1",0,Q$135)</f>
        <v>0</v>
      </c>
      <c r="S135" s="106">
        <f>IF(S$2="Proj Yr1",0,R$135)</f>
        <v>0</v>
      </c>
      <c r="T135" s="106">
        <f>IF(T$2="Proj Yr1",0,S$135)</f>
        <v>0</v>
      </c>
    </row>
    <row r="136" spans="1:20" ht="12.75">
      <c r="A136" s="46" t="s">
        <v>144</v>
      </c>
      <c r="B136" s="57"/>
      <c r="C136" s="94"/>
      <c r="D136" s="96">
        <f>SUM(D$129:D$132,D$135)-SUM(D$133:D$134)</f>
        <v>12.973</v>
      </c>
      <c r="E136" s="96">
        <f>SUM(E$129:E$132,E$135)-SUM(E$133:E$134)</f>
        <v>14.212000000000002</v>
      </c>
      <c r="F136" s="175">
        <f>SUM(F$129:F$132,F$135)-SUM(F$133:F$134)</f>
        <v>13.275</v>
      </c>
      <c r="G136" s="175">
        <f aca="true" t="shared" si="66" ref="G136:T136">SUM(G$129:G$132,G$135)-SUM(G$133:G$134)</f>
        <v>14.59</v>
      </c>
      <c r="H136" s="175">
        <f t="shared" si="66"/>
        <v>15.791</v>
      </c>
      <c r="I136" s="175">
        <f t="shared" si="66"/>
        <v>17.124</v>
      </c>
      <c r="J136" s="175">
        <f t="shared" si="66"/>
        <v>18.604</v>
      </c>
      <c r="K136" s="100">
        <f t="shared" si="66"/>
        <v>19.85343229011064</v>
      </c>
      <c r="L136" s="100">
        <f t="shared" si="66"/>
        <v>21.185002258973153</v>
      </c>
      <c r="M136" s="100">
        <f t="shared" si="66"/>
        <v>22.604109637588685</v>
      </c>
      <c r="N136" s="100">
        <f t="shared" si="66"/>
        <v>24.116509135274402</v>
      </c>
      <c r="O136" s="100">
        <f t="shared" si="66"/>
        <v>25.72833377593798</v>
      </c>
      <c r="P136" s="100">
        <f t="shared" si="66"/>
        <v>27.44611976847878</v>
      </c>
      <c r="Q136" s="100">
        <f t="shared" si="66"/>
        <v>29.276833012169213</v>
      </c>
      <c r="R136" s="100">
        <f t="shared" si="66"/>
        <v>34.09675162158165</v>
      </c>
      <c r="S136" s="100">
        <f t="shared" si="66"/>
        <v>39.11733236718177</v>
      </c>
      <c r="T136" s="100">
        <f t="shared" si="66"/>
        <v>44.342414044970965</v>
      </c>
    </row>
    <row r="137" spans="1:20" ht="12.75">
      <c r="A137" s="145" t="s">
        <v>758</v>
      </c>
      <c r="B137" s="63"/>
      <c r="C137" s="94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</row>
    <row r="138" spans="1:20" ht="12.75">
      <c r="A138" s="323" t="s">
        <v>802</v>
      </c>
      <c r="B138" s="335"/>
      <c r="C138" s="94"/>
      <c r="D138" s="94">
        <f>Data!C$175</f>
        <v>0.119</v>
      </c>
      <c r="E138" s="94">
        <f>Data!D$175</f>
        <v>0.097</v>
      </c>
      <c r="F138" s="141">
        <f>Data!E$175+IF($L$1="Yes",F$284,0)</f>
        <v>0.103</v>
      </c>
      <c r="G138" s="141">
        <f>Data!F$175+IF($L$1="Yes",G$284,0)</f>
        <v>0.111</v>
      </c>
      <c r="H138" s="141">
        <f>Data!G$175+IF($L$1="Yes",H$284,0)</f>
        <v>0.115</v>
      </c>
      <c r="I138" s="141">
        <f>Data!H$175+IF($L$1="Yes",I$284,0)</f>
        <v>0.125</v>
      </c>
      <c r="J138" s="141">
        <f>Data!I$175+IF($L$1="Yes",J$284,0)</f>
        <v>0.136</v>
      </c>
      <c r="K138" s="98">
        <f>J$138*K$134/J$134</f>
        <v>0.11641354042553193</v>
      </c>
      <c r="L138" s="98">
        <f aca="true" t="shared" si="67" ref="L138:T138">K$138*L$134/K$134</f>
        <v>0.12406656657310641</v>
      </c>
      <c r="M138" s="98">
        <f t="shared" si="67"/>
        <v>0.1322227026596224</v>
      </c>
      <c r="N138" s="98">
        <f t="shared" si="67"/>
        <v>0.14091502313246598</v>
      </c>
      <c r="O138" s="98">
        <f t="shared" si="67"/>
        <v>0.15017877675319433</v>
      </c>
      <c r="P138" s="98">
        <f t="shared" si="67"/>
        <v>0.16005152953694932</v>
      </c>
      <c r="Q138" s="98">
        <f t="shared" si="67"/>
        <v>0.17057331708870835</v>
      </c>
      <c r="R138" s="98">
        <f t="shared" si="67"/>
        <v>0.19005820756433556</v>
      </c>
      <c r="S138" s="98">
        <f t="shared" si="67"/>
        <v>0.2196024361619541</v>
      </c>
      <c r="T138" s="98">
        <f t="shared" si="67"/>
        <v>0.25033387511563365</v>
      </c>
    </row>
    <row r="139" spans="1:20" ht="12.75">
      <c r="A139" s="323" t="s">
        <v>757</v>
      </c>
      <c r="B139" s="335"/>
      <c r="C139" s="94"/>
      <c r="D139" s="94">
        <f>Data!C$87</f>
        <v>11.576</v>
      </c>
      <c r="E139" s="94">
        <f>Data!D$87</f>
        <v>12.934</v>
      </c>
      <c r="F139" s="141">
        <f>Data!E$87+IF($L$1="Yes",F$291,0)</f>
        <v>11.668</v>
      </c>
      <c r="G139" s="141">
        <f>Data!F$87+IF($L$1="Yes",G$291,0)</f>
        <v>13.258</v>
      </c>
      <c r="H139" s="141">
        <f>Data!G$87+IF($L$1="Yes",H$291,0)</f>
        <v>14.825</v>
      </c>
      <c r="I139" s="141">
        <f>Data!H$87+IF($L$1="Yes",I$291,0)</f>
        <v>16.732</v>
      </c>
      <c r="J139" s="141">
        <f>Data!I$87+IF($L$1="Yes",J$291,0)</f>
        <v>18.612</v>
      </c>
      <c r="K139" s="98">
        <f aca="true" t="shared" si="68" ref="K139:T139">J$139*K$136/J$136</f>
        <v>19.861969564800003</v>
      </c>
      <c r="L139" s="98">
        <f t="shared" si="68"/>
        <v>21.194112128789957</v>
      </c>
      <c r="M139" s="98">
        <f t="shared" si="68"/>
        <v>22.613829744936606</v>
      </c>
      <c r="N139" s="98">
        <f t="shared" si="68"/>
        <v>24.126879597168735</v>
      </c>
      <c r="O139" s="98">
        <f t="shared" si="68"/>
        <v>25.73939734668661</v>
      </c>
      <c r="P139" s="98">
        <f t="shared" si="68"/>
        <v>27.457922013057786</v>
      </c>
      <c r="Q139" s="98">
        <f t="shared" si="68"/>
        <v>29.289422490996202</v>
      </c>
      <c r="R139" s="98">
        <f t="shared" si="68"/>
        <v>34.111413737953</v>
      </c>
      <c r="S139" s="98">
        <f t="shared" si="68"/>
        <v>39.134153408836106</v>
      </c>
      <c r="T139" s="98">
        <f t="shared" si="68"/>
        <v>44.36148195038698</v>
      </c>
    </row>
    <row r="140" spans="1:20" ht="12.75">
      <c r="A140" s="50"/>
      <c r="B140" s="57"/>
      <c r="C140" s="94"/>
      <c r="D140" s="94"/>
      <c r="E140" s="94"/>
      <c r="F140" s="94"/>
      <c r="G140" s="94"/>
      <c r="H140" s="94"/>
      <c r="I140" s="94"/>
      <c r="J140" s="94"/>
      <c r="K140" s="94"/>
      <c r="T140" s="98"/>
    </row>
    <row r="141" spans="1:20" ht="12.75">
      <c r="A141" s="145" t="s">
        <v>750</v>
      </c>
      <c r="B141" s="57"/>
      <c r="C141" s="94"/>
      <c r="D141" s="94"/>
      <c r="E141" s="94"/>
      <c r="F141" s="141"/>
      <c r="G141" s="141"/>
      <c r="H141" s="141"/>
      <c r="I141" s="141"/>
      <c r="J141" s="141"/>
      <c r="T141" s="98"/>
    </row>
    <row r="142" spans="1:20" ht="12.75">
      <c r="A142" s="50" t="s">
        <v>360</v>
      </c>
      <c r="B142" s="94"/>
      <c r="C142" s="94"/>
      <c r="D142" s="94">
        <f>D$144-D$155</f>
        <v>3.0760000000000014</v>
      </c>
      <c r="E142" s="94">
        <f>E$144-E$155</f>
        <v>3.537000000000001</v>
      </c>
      <c r="F142" s="141">
        <f>F$144-F$155</f>
        <v>4.044000000000001</v>
      </c>
      <c r="G142" s="141">
        <f>G$144-G$155</f>
        <v>4.314</v>
      </c>
      <c r="H142" s="141">
        <f>H$144-H$155</f>
        <v>4.373000000000001</v>
      </c>
      <c r="I142" s="141">
        <f>I$144-I$155</f>
        <v>4.347000000000001</v>
      </c>
      <c r="J142" s="141">
        <f>J$144-J$155</f>
        <v>4.285000000000002</v>
      </c>
      <c r="K142" s="98">
        <f aca="true" t="shared" si="69" ref="K142:T142">J$142*(1+K$206)</f>
        <v>4.366637585550162</v>
      </c>
      <c r="L142" s="98">
        <f t="shared" si="69"/>
        <v>4.453970337261166</v>
      </c>
      <c r="M142" s="98">
        <f t="shared" si="69"/>
        <v>4.543049744006389</v>
      </c>
      <c r="N142" s="98">
        <f t="shared" si="69"/>
        <v>4.633910738886517</v>
      </c>
      <c r="O142" s="98">
        <f t="shared" si="69"/>
        <v>4.726588953664247</v>
      </c>
      <c r="P142" s="98">
        <f t="shared" si="69"/>
        <v>4.821120732737532</v>
      </c>
      <c r="Q142" s="98">
        <f t="shared" si="69"/>
        <v>4.917543147392283</v>
      </c>
      <c r="R142" s="98">
        <f t="shared" si="69"/>
        <v>5.015894010340128</v>
      </c>
      <c r="S142" s="98">
        <f t="shared" si="69"/>
        <v>5.116211890546931</v>
      </c>
      <c r="T142" s="98">
        <f t="shared" si="69"/>
        <v>5.2185361283578695</v>
      </c>
    </row>
    <row r="143" spans="1:20" ht="12.75">
      <c r="A143" s="50" t="s">
        <v>751</v>
      </c>
      <c r="B143" s="57"/>
      <c r="C143" s="94"/>
      <c r="D143" s="243">
        <f>D$155</f>
        <v>6.011</v>
      </c>
      <c r="E143" s="243">
        <f aca="true" t="shared" si="70" ref="E143:T143">E$155</f>
        <v>6.741</v>
      </c>
      <c r="F143" s="174">
        <f t="shared" si="70"/>
        <v>7.130999999999999</v>
      </c>
      <c r="G143" s="174">
        <f t="shared" si="70"/>
        <v>7.6579999999999995</v>
      </c>
      <c r="H143" s="174">
        <f t="shared" si="70"/>
        <v>8.196</v>
      </c>
      <c r="I143" s="174">
        <f t="shared" si="70"/>
        <v>8.719999999999999</v>
      </c>
      <c r="J143" s="174">
        <f t="shared" si="70"/>
        <v>9.231999999999998</v>
      </c>
      <c r="K143" s="106">
        <f t="shared" si="70"/>
        <v>9.71902648108875</v>
      </c>
      <c r="L143" s="106">
        <f t="shared" si="70"/>
        <v>10.172777644165397</v>
      </c>
      <c r="M143" s="106">
        <f t="shared" si="70"/>
        <v>10.597195480585434</v>
      </c>
      <c r="N143" s="106">
        <f t="shared" si="70"/>
        <v>10.999710898404114</v>
      </c>
      <c r="O143" s="106">
        <f t="shared" si="70"/>
        <v>11.385620860244812</v>
      </c>
      <c r="P143" s="106">
        <f t="shared" si="70"/>
        <v>11.761885253035427</v>
      </c>
      <c r="Q143" s="106">
        <f t="shared" si="70"/>
        <v>12.130362976589469</v>
      </c>
      <c r="R143" s="106">
        <f t="shared" si="70"/>
        <v>12.496461296619778</v>
      </c>
      <c r="S143" s="106">
        <f t="shared" si="70"/>
        <v>12.869355874446683</v>
      </c>
      <c r="T143" s="106">
        <f t="shared" si="70"/>
        <v>13.25126460504993</v>
      </c>
    </row>
    <row r="144" spans="1:20" ht="12.75">
      <c r="A144" s="46" t="s">
        <v>752</v>
      </c>
      <c r="B144" s="335"/>
      <c r="C144" s="94"/>
      <c r="D144" s="96">
        <f>Data!C$190</f>
        <v>9.087000000000002</v>
      </c>
      <c r="E144" s="96">
        <f>Data!D$190</f>
        <v>10.278</v>
      </c>
      <c r="F144" s="175">
        <f>Data!E$190</f>
        <v>11.175</v>
      </c>
      <c r="G144" s="175">
        <f>Data!F$190</f>
        <v>11.972</v>
      </c>
      <c r="H144" s="175">
        <f>Data!G$190</f>
        <v>12.569</v>
      </c>
      <c r="I144" s="175">
        <f>Data!H$190</f>
        <v>13.067</v>
      </c>
      <c r="J144" s="175">
        <f>Data!I$190</f>
        <v>13.517</v>
      </c>
      <c r="K144" s="100">
        <f aca="true" t="shared" si="71" ref="K144:T144">SUM(K$142:K$143)</f>
        <v>14.085664066638913</v>
      </c>
      <c r="L144" s="100">
        <f t="shared" si="71"/>
        <v>14.626747981426561</v>
      </c>
      <c r="M144" s="100">
        <f t="shared" si="71"/>
        <v>15.140245224591823</v>
      </c>
      <c r="N144" s="100">
        <f t="shared" si="71"/>
        <v>15.63362163729063</v>
      </c>
      <c r="O144" s="100">
        <f t="shared" si="71"/>
        <v>16.112209813909057</v>
      </c>
      <c r="P144" s="100">
        <f t="shared" si="71"/>
        <v>16.583005985772957</v>
      </c>
      <c r="Q144" s="100">
        <f t="shared" si="71"/>
        <v>17.04790612398175</v>
      </c>
      <c r="R144" s="100">
        <f t="shared" si="71"/>
        <v>17.512355306959904</v>
      </c>
      <c r="S144" s="100">
        <f t="shared" si="71"/>
        <v>17.985567764993615</v>
      </c>
      <c r="T144" s="100">
        <f t="shared" si="71"/>
        <v>18.469800733407798</v>
      </c>
    </row>
    <row r="145" spans="1:20" ht="12.75">
      <c r="A145" s="46" t="s">
        <v>756</v>
      </c>
      <c r="B145" s="335"/>
      <c r="C145" s="94"/>
      <c r="D145" s="96">
        <f>Data!C$59</f>
        <v>11.793</v>
      </c>
      <c r="E145" s="96">
        <f>Data!D$59</f>
        <v>12.948</v>
      </c>
      <c r="F145" s="175">
        <f>Data!E$59</f>
        <v>15.042</v>
      </c>
      <c r="G145" s="175">
        <f>Data!F$59</f>
        <v>17.268</v>
      </c>
      <c r="H145" s="175">
        <f>Data!G$59</f>
        <v>18.905</v>
      </c>
      <c r="I145" s="175">
        <f>Data!H$59</f>
        <v>19.502</v>
      </c>
      <c r="J145" s="175">
        <f>Data!I$59</f>
        <v>20.124</v>
      </c>
      <c r="K145" s="100">
        <f aca="true" t="shared" si="72" ref="K145:T145">SUM(K$144,(J$145-J$144)*(1+K$206))</f>
        <v>20.818540269142975</v>
      </c>
      <c r="L145" s="100">
        <f t="shared" si="72"/>
        <v>21.494281707980704</v>
      </c>
      <c r="M145" s="100">
        <f t="shared" si="72"/>
        <v>22.14512962567705</v>
      </c>
      <c r="N145" s="100">
        <f t="shared" si="72"/>
        <v>22.778603726397563</v>
      </c>
      <c r="O145" s="100">
        <f t="shared" si="72"/>
        <v>23.40009154479813</v>
      </c>
      <c r="P145" s="100">
        <f t="shared" si="72"/>
        <v>24.016645351279813</v>
      </c>
      <c r="Q145" s="100">
        <f t="shared" si="72"/>
        <v>24.630218276798743</v>
      </c>
      <c r="R145" s="100">
        <f t="shared" si="72"/>
        <v>25.246313702833238</v>
      </c>
      <c r="S145" s="100">
        <f t="shared" si="72"/>
        <v>25.874205328784413</v>
      </c>
      <c r="T145" s="100">
        <f t="shared" si="72"/>
        <v>26.51621104847441</v>
      </c>
    </row>
    <row r="146" spans="1:20" ht="12.75">
      <c r="A146" s="46"/>
      <c r="B146" s="57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</row>
    <row r="147" spans="1:20" ht="12.75">
      <c r="A147" s="145" t="s">
        <v>460</v>
      </c>
      <c r="B147" s="57"/>
      <c r="C147" s="94"/>
      <c r="D147" s="98"/>
      <c r="E147" s="98"/>
      <c r="F147" s="98"/>
      <c r="G147" s="98"/>
      <c r="H147" s="98"/>
      <c r="I147" s="98"/>
      <c r="J147" s="98"/>
      <c r="T147" s="98"/>
    </row>
    <row r="148" spans="1:20" ht="12.75">
      <c r="A148" s="49" t="s">
        <v>639</v>
      </c>
      <c r="B148" s="57"/>
      <c r="C148" s="94"/>
      <c r="D148" s="170">
        <f>Data!C$156</f>
        <v>5.569</v>
      </c>
      <c r="E148" s="94">
        <f>D$155</f>
        <v>6.011</v>
      </c>
      <c r="F148" s="141">
        <f>E$155</f>
        <v>6.741</v>
      </c>
      <c r="G148" s="141">
        <f aca="true" t="shared" si="73" ref="G148:T148">F$155</f>
        <v>7.130999999999999</v>
      </c>
      <c r="H148" s="141">
        <f t="shared" si="73"/>
        <v>7.6579999999999995</v>
      </c>
      <c r="I148" s="141">
        <f t="shared" si="73"/>
        <v>8.196</v>
      </c>
      <c r="J148" s="141">
        <f t="shared" si="73"/>
        <v>8.719999999999999</v>
      </c>
      <c r="K148" s="98">
        <f t="shared" si="73"/>
        <v>9.231999999999998</v>
      </c>
      <c r="L148" s="98">
        <f t="shared" si="73"/>
        <v>9.71902648108875</v>
      </c>
      <c r="M148" s="98">
        <f t="shared" si="73"/>
        <v>10.172777644165397</v>
      </c>
      <c r="N148" s="98">
        <f t="shared" si="73"/>
        <v>10.597195480585434</v>
      </c>
      <c r="O148" s="98">
        <f t="shared" si="73"/>
        <v>10.999710898404114</v>
      </c>
      <c r="P148" s="98">
        <f t="shared" si="73"/>
        <v>11.385620860244812</v>
      </c>
      <c r="Q148" s="98">
        <f t="shared" si="73"/>
        <v>11.761885253035427</v>
      </c>
      <c r="R148" s="98">
        <f t="shared" si="73"/>
        <v>12.130362976589469</v>
      </c>
      <c r="S148" s="98">
        <f t="shared" si="73"/>
        <v>12.496461296619778</v>
      </c>
      <c r="T148" s="98">
        <f t="shared" si="73"/>
        <v>12.869355874446683</v>
      </c>
    </row>
    <row r="149" spans="1:20" ht="12.75">
      <c r="A149" s="50" t="s">
        <v>738</v>
      </c>
      <c r="B149" s="335"/>
      <c r="C149" s="94"/>
      <c r="D149" s="94">
        <f>Data!C$157</f>
        <v>1.176</v>
      </c>
      <c r="E149" s="94">
        <f>Data!D$157</f>
        <v>1.201</v>
      </c>
      <c r="F149" s="141">
        <f>Data!E$157</f>
        <v>1.366</v>
      </c>
      <c r="G149" s="141">
        <f>Data!F$157</f>
        <v>1.478</v>
      </c>
      <c r="H149" s="141">
        <f>Data!G$157</f>
        <v>1.551</v>
      </c>
      <c r="I149" s="141">
        <f>Data!H$157</f>
        <v>1.585</v>
      </c>
      <c r="J149" s="141">
        <f>Data!I$157</f>
        <v>1.616</v>
      </c>
      <c r="K149" s="98">
        <f>J$149*Tracks!W$23/Tracks!V$23</f>
        <v>1.6869674117800564</v>
      </c>
      <c r="L149" s="98">
        <f>K$149*Tracks!X$23/Tracks!W$23</f>
        <v>1.7412661549370159</v>
      </c>
      <c r="M149" s="98">
        <f>L$149*Tracks!Y$23/Tracks!X$23</f>
        <v>1.7950375798323057</v>
      </c>
      <c r="N149" s="98">
        <f>M$149*Tracks!Z$23/Tracks!Y$23</f>
        <v>1.852325148428062</v>
      </c>
      <c r="O149" s="98">
        <f>N$149*Tracks!AA$23/Tracks!Z$23</f>
        <v>1.912995522069724</v>
      </c>
      <c r="P149" s="98">
        <f>O$149*Tracks!AB$23/Tracks!AA$23</f>
        <v>1.978394714439304</v>
      </c>
      <c r="Q149" s="98">
        <f>P$149*Tracks!AC$23/Tracks!AB$23</f>
        <v>2.043772648705807</v>
      </c>
      <c r="R149" s="98">
        <f>Q$149*Tracks!AD$23/Tracks!AC$23</f>
        <v>2.1112731370025575</v>
      </c>
      <c r="S149" s="98">
        <f>R$149*Tracks!AE$23/Tracks!AD$23</f>
        <v>2.1847670602265574</v>
      </c>
      <c r="T149" s="98">
        <f>S$149*Tracks!AF$23/Tracks!AE$23</f>
        <v>2.263289873133829</v>
      </c>
    </row>
    <row r="150" spans="1:20" ht="12.75">
      <c r="A150" s="50" t="s">
        <v>739</v>
      </c>
      <c r="B150" s="335"/>
      <c r="C150" s="94"/>
      <c r="D150" s="94">
        <f>Data!C$158</f>
        <v>0.488</v>
      </c>
      <c r="E150" s="94">
        <f>Data!D$158</f>
        <v>0.487</v>
      </c>
      <c r="F150" s="141">
        <f>Data!E$158</f>
        <v>0.539</v>
      </c>
      <c r="G150" s="141">
        <f>Data!F$158</f>
        <v>0.573</v>
      </c>
      <c r="H150" s="141">
        <f>Data!G$158</f>
        <v>0.601</v>
      </c>
      <c r="I150" s="141">
        <f>Data!H$158</f>
        <v>0.614</v>
      </c>
      <c r="J150" s="141">
        <f>Data!I$158</f>
        <v>0.626</v>
      </c>
      <c r="K150" s="98">
        <f>J$150*K$149/J$149</f>
        <v>0.6534910889692545</v>
      </c>
      <c r="L150" s="98">
        <f aca="true" t="shared" si="74" ref="L150:T150">K$150*L$149/K$149</f>
        <v>0.6745251318010965</v>
      </c>
      <c r="M150" s="98">
        <f t="shared" si="74"/>
        <v>0.6953549040687026</v>
      </c>
      <c r="N150" s="98">
        <f t="shared" si="74"/>
        <v>0.7175467468539398</v>
      </c>
      <c r="O150" s="98">
        <f t="shared" si="74"/>
        <v>0.7410490079304747</v>
      </c>
      <c r="P150" s="98">
        <f t="shared" si="74"/>
        <v>0.7663831010142352</v>
      </c>
      <c r="Q150" s="98">
        <f t="shared" si="74"/>
        <v>0.7917089592140067</v>
      </c>
      <c r="R150" s="98">
        <f t="shared" si="74"/>
        <v>0.8178570444081688</v>
      </c>
      <c r="S150" s="98">
        <f t="shared" si="74"/>
        <v>0.8463268438748915</v>
      </c>
      <c r="T150" s="98">
        <f t="shared" si="74"/>
        <v>0.8767447157065451</v>
      </c>
    </row>
    <row r="151" spans="1:20" ht="12.75">
      <c r="A151" s="50" t="s">
        <v>740</v>
      </c>
      <c r="B151" s="335"/>
      <c r="C151" s="94"/>
      <c r="D151" s="94">
        <f>Data!C$159</f>
        <v>0.555</v>
      </c>
      <c r="E151" s="94">
        <f>Data!D$159</f>
        <v>0.629</v>
      </c>
      <c r="F151" s="141">
        <f>Data!E$159</f>
        <v>0.717</v>
      </c>
      <c r="G151" s="141">
        <f>Data!F$159</f>
        <v>0.794</v>
      </c>
      <c r="H151" s="141">
        <f>Data!G$159</f>
        <v>0.869</v>
      </c>
      <c r="I151" s="141">
        <f>Data!H$159</f>
        <v>0.944</v>
      </c>
      <c r="J151" s="141">
        <f>Data!I$159</f>
        <v>1.013</v>
      </c>
      <c r="K151" s="98">
        <f>J$151*Tracks!W$25/Tracks!V$25</f>
        <v>1.0928774543932538</v>
      </c>
      <c r="L151" s="98">
        <f>K$151*Tracks!X$25/Tracks!W$25</f>
        <v>1.1746102392546272</v>
      </c>
      <c r="M151" s="98">
        <f>L$151*Tracks!Y$25/Tracks!X$25</f>
        <v>1.2522905351535691</v>
      </c>
      <c r="N151" s="98">
        <f>M$151*Tracks!Z$25/Tracks!Y$25</f>
        <v>1.3264456796780257</v>
      </c>
      <c r="O151" s="98">
        <f>N$151*Tracks!AA$25/Tracks!Z$25</f>
        <v>1.3989817984823674</v>
      </c>
      <c r="P151" s="98">
        <f>O$151*Tracks!AB$25/Tracks!AA$25</f>
        <v>1.4695226578247778</v>
      </c>
      <c r="Q151" s="98">
        <f>P$151*Tracks!AC$25/Tracks!AB$25</f>
        <v>1.5383049166140677</v>
      </c>
      <c r="R151" s="98">
        <f>Q$151*Tracks!AD$25/Tracks!AC$25</f>
        <v>1.6039125112077472</v>
      </c>
      <c r="S151" s="98">
        <f>R$151*Tracks!AE$25/Tracks!AD$25</f>
        <v>1.6664012740984486</v>
      </c>
      <c r="T151" s="98">
        <f>S$151*Tracks!AF$25/Tracks!AE$25</f>
        <v>1.7316433065130277</v>
      </c>
    </row>
    <row r="152" spans="1:20" ht="12.75">
      <c r="A152" s="50" t="s">
        <v>741</v>
      </c>
      <c r="B152" s="335"/>
      <c r="C152" s="94"/>
      <c r="D152" s="94">
        <f>Data!C$160</f>
        <v>0.36</v>
      </c>
      <c r="E152" s="94">
        <f>Data!D$160</f>
        <v>0.407</v>
      </c>
      <c r="F152" s="141">
        <f>Data!E$160</f>
        <v>0.48</v>
      </c>
      <c r="G152" s="141">
        <f>Data!F$160</f>
        <v>0.516</v>
      </c>
      <c r="H152" s="141">
        <f>Data!G$160</f>
        <v>0.557</v>
      </c>
      <c r="I152" s="141">
        <f>Data!H$160</f>
        <v>0.597</v>
      </c>
      <c r="J152" s="141">
        <f>Data!I$160</f>
        <v>0.635</v>
      </c>
      <c r="K152" s="98">
        <f>J$152*K$149/J$149</f>
        <v>0.6628863282675345</v>
      </c>
      <c r="L152" s="98">
        <f aca="true" t="shared" si="75" ref="L152:T152">K$152*L$149/K$149</f>
        <v>0.6842227774659684</v>
      </c>
      <c r="M152" s="98">
        <f t="shared" si="75"/>
        <v>0.705352019302917</v>
      </c>
      <c r="N152" s="98">
        <f t="shared" si="75"/>
        <v>0.7278629141409773</v>
      </c>
      <c r="O152" s="98">
        <f t="shared" si="75"/>
        <v>0.7517030671499223</v>
      </c>
      <c r="P152" s="98">
        <f t="shared" si="75"/>
        <v>0.7774013884090084</v>
      </c>
      <c r="Q152" s="98">
        <f t="shared" si="75"/>
        <v>0.8030913563912048</v>
      </c>
      <c r="R152" s="98">
        <f t="shared" si="75"/>
        <v>0.829615372522663</v>
      </c>
      <c r="S152" s="98">
        <f t="shared" si="75"/>
        <v>0.8584944822053611</v>
      </c>
      <c r="T152" s="98">
        <f t="shared" si="75"/>
        <v>0.8893496716831566</v>
      </c>
    </row>
    <row r="153" spans="1:20" ht="12.75">
      <c r="A153" s="50" t="s">
        <v>742</v>
      </c>
      <c r="B153" s="335"/>
      <c r="C153" s="94"/>
      <c r="D153" s="94">
        <f>Data!C$161</f>
        <v>0.151</v>
      </c>
      <c r="E153" s="94">
        <f>Data!D$161</f>
        <v>-0.231</v>
      </c>
      <c r="F153" s="141">
        <f>Data!E$161</f>
        <v>0.21</v>
      </c>
      <c r="G153" s="141">
        <f>Data!F$161</f>
        <v>0.11</v>
      </c>
      <c r="H153" s="141">
        <f>Data!G$161</f>
        <v>0.11</v>
      </c>
      <c r="I153" s="141">
        <f>Data!H$161</f>
        <v>0.11</v>
      </c>
      <c r="J153" s="141">
        <f>Data!I$161</f>
        <v>0.11</v>
      </c>
      <c r="K153" s="98">
        <f>J$153*K$148/J$148</f>
        <v>0.11645871559633027</v>
      </c>
      <c r="L153" s="98">
        <f aca="true" t="shared" si="76" ref="L153:T153">K$153*L$148/K$148</f>
        <v>0.12260239827061499</v>
      </c>
      <c r="M153" s="98">
        <f t="shared" si="76"/>
        <v>0.12832632349291212</v>
      </c>
      <c r="N153" s="98">
        <f t="shared" si="76"/>
        <v>0.13368021821839424</v>
      </c>
      <c r="O153" s="98">
        <f t="shared" si="76"/>
        <v>0.13875782096610695</v>
      </c>
      <c r="P153" s="98">
        <f t="shared" si="76"/>
        <v>0.14362595121868454</v>
      </c>
      <c r="Q153" s="98">
        <f t="shared" si="76"/>
        <v>0.14837240571489643</v>
      </c>
      <c r="R153" s="98">
        <f t="shared" si="76"/>
        <v>0.1530206338789956</v>
      </c>
      <c r="S153" s="98">
        <f t="shared" si="76"/>
        <v>0.1576388466316715</v>
      </c>
      <c r="T153" s="98">
        <f t="shared" si="76"/>
        <v>0.16234279199416685</v>
      </c>
    </row>
    <row r="154" spans="1:20" ht="12.75">
      <c r="A154" s="50" t="s">
        <v>743</v>
      </c>
      <c r="B154" s="335"/>
      <c r="C154" s="94"/>
      <c r="D154" s="243">
        <f>Data!C$162</f>
        <v>0.1</v>
      </c>
      <c r="E154" s="243">
        <f>Data!D$162</f>
        <v>0.007</v>
      </c>
      <c r="F154" s="174">
        <f>Data!E$162</f>
        <v>0.01</v>
      </c>
      <c r="G154" s="174">
        <f>Data!F$162</f>
        <v>0.01</v>
      </c>
      <c r="H154" s="174">
        <f>Data!G$162</f>
        <v>0.01</v>
      </c>
      <c r="I154" s="174">
        <f>Data!H$162</f>
        <v>0.01</v>
      </c>
      <c r="J154" s="174">
        <f>Data!I$162</f>
        <v>0.01</v>
      </c>
      <c r="K154" s="106">
        <f aca="true" t="shared" si="77" ref="K154:T154">IF(K$2="Proj Yr1",0,J$154)</f>
        <v>0</v>
      </c>
      <c r="L154" s="106">
        <f t="shared" si="77"/>
        <v>0</v>
      </c>
      <c r="M154" s="106">
        <f>IF(M$2="Proj Yr1",0,L$154)</f>
        <v>0</v>
      </c>
      <c r="N154" s="106">
        <f t="shared" si="77"/>
        <v>0</v>
      </c>
      <c r="O154" s="106">
        <f t="shared" si="77"/>
        <v>0</v>
      </c>
      <c r="P154" s="106">
        <f t="shared" si="77"/>
        <v>0</v>
      </c>
      <c r="Q154" s="106">
        <f t="shared" si="77"/>
        <v>0</v>
      </c>
      <c r="R154" s="106">
        <f t="shared" si="77"/>
        <v>0</v>
      </c>
      <c r="S154" s="106">
        <f t="shared" si="77"/>
        <v>0</v>
      </c>
      <c r="T154" s="106">
        <f t="shared" si="77"/>
        <v>0</v>
      </c>
    </row>
    <row r="155" spans="1:20" ht="12.75">
      <c r="A155" s="46" t="s">
        <v>725</v>
      </c>
      <c r="B155" s="57"/>
      <c r="C155" s="94"/>
      <c r="D155" s="96">
        <f>SUM(D$148,D$149,D$152,D$154)-SUM(D$150,D$151,D$153)</f>
        <v>6.011</v>
      </c>
      <c r="E155" s="96">
        <f>SUM(E$148,E$149,E$152,E$154)-SUM(E$150,E$151,E$153)</f>
        <v>6.741</v>
      </c>
      <c r="F155" s="175">
        <f>SUM(F$148,F$149,F$152,F$154)-SUM(F$150,F$151,F$153)</f>
        <v>7.130999999999999</v>
      </c>
      <c r="G155" s="175">
        <f aca="true" t="shared" si="78" ref="G155:T155">SUM(G$148,G$149,G$152,G$154)-SUM(G$150,G$151,G$153)</f>
        <v>7.6579999999999995</v>
      </c>
      <c r="H155" s="175">
        <f t="shared" si="78"/>
        <v>8.196</v>
      </c>
      <c r="I155" s="175">
        <f t="shared" si="78"/>
        <v>8.719999999999999</v>
      </c>
      <c r="J155" s="175">
        <f t="shared" si="78"/>
        <v>9.231999999999998</v>
      </c>
      <c r="K155" s="100">
        <f t="shared" si="78"/>
        <v>9.71902648108875</v>
      </c>
      <c r="L155" s="100">
        <f t="shared" si="78"/>
        <v>10.172777644165397</v>
      </c>
      <c r="M155" s="100">
        <f t="shared" si="78"/>
        <v>10.597195480585434</v>
      </c>
      <c r="N155" s="100">
        <f t="shared" si="78"/>
        <v>10.999710898404114</v>
      </c>
      <c r="O155" s="100">
        <f t="shared" si="78"/>
        <v>11.385620860244812</v>
      </c>
      <c r="P155" s="100">
        <f t="shared" si="78"/>
        <v>11.761885253035427</v>
      </c>
      <c r="Q155" s="100">
        <f t="shared" si="78"/>
        <v>12.130362976589469</v>
      </c>
      <c r="R155" s="100">
        <f t="shared" si="78"/>
        <v>12.496461296619778</v>
      </c>
      <c r="S155" s="100">
        <f t="shared" si="78"/>
        <v>12.869355874446683</v>
      </c>
      <c r="T155" s="100">
        <f t="shared" si="78"/>
        <v>13.25126460504993</v>
      </c>
    </row>
    <row r="156" spans="1:20" ht="12.75">
      <c r="A156" s="46" t="s">
        <v>800</v>
      </c>
      <c r="B156" s="335"/>
      <c r="C156" s="94"/>
      <c r="D156" s="96">
        <f>Data!C$155</f>
        <v>9.413</v>
      </c>
      <c r="E156" s="96">
        <f>Data!D$155</f>
        <v>9.573</v>
      </c>
      <c r="F156" s="175">
        <f>Data!E$155</f>
        <v>10.32</v>
      </c>
      <c r="G156" s="175">
        <f>Data!F$155</f>
        <v>11.11</v>
      </c>
      <c r="H156" s="175">
        <f>Data!G$155</f>
        <v>11.907</v>
      </c>
      <c r="I156" s="175">
        <f>Data!H$155</f>
        <v>12.673</v>
      </c>
      <c r="J156" s="175">
        <f>Data!I$155</f>
        <v>13.41</v>
      </c>
      <c r="K156" s="100">
        <f>J$156*Tracks!W$27/Tracks!V$27</f>
        <v>14.195563743279765</v>
      </c>
      <c r="L156" s="100">
        <f>K$156*Tracks!X$27/Tracks!W$27</f>
        <v>14.96943722853194</v>
      </c>
      <c r="M156" s="100">
        <f>L$156*Tracks!Y$27/Tracks!X$27</f>
        <v>15.736854452581738</v>
      </c>
      <c r="N156" s="100">
        <f>M$156*Tracks!Z$27/Tracks!Y$27</f>
        <v>16.503140496260098</v>
      </c>
      <c r="O156" s="100">
        <f>N$156*Tracks!AA$27/Tracks!Z$27</f>
        <v>17.272784216082112</v>
      </c>
      <c r="P156" s="100">
        <f>O$156*Tracks!AB$27/Tracks!AA$27</f>
        <v>18.050825905126175</v>
      </c>
      <c r="Q156" s="100">
        <f>P$156*Tracks!AC$27/Tracks!AB$27</f>
        <v>18.837681672415403</v>
      </c>
      <c r="R156" s="100">
        <f>Q$156*Tracks!AD$27/Tracks!AC$27</f>
        <v>19.638912501837723</v>
      </c>
      <c r="S156" s="100">
        <f>R$156*Tracks!AE$27/Tracks!AD$27</f>
        <v>20.462902658748238</v>
      </c>
      <c r="T156" s="100">
        <f>S$156*Tracks!AF$27/Tracks!AE$27</f>
        <v>21.31267997302081</v>
      </c>
    </row>
    <row r="157" spans="1:21" ht="12.75">
      <c r="A157" s="45"/>
      <c r="B157" s="63"/>
      <c r="C157" s="94"/>
      <c r="D157" s="94"/>
      <c r="E157" s="94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94"/>
    </row>
    <row r="158" spans="1:20" ht="12.75">
      <c r="A158" s="145" t="s">
        <v>759</v>
      </c>
      <c r="B158" s="62"/>
      <c r="C158" s="94"/>
      <c r="D158" s="94"/>
      <c r="E158" s="94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</row>
    <row r="159" spans="1:20" ht="12.75">
      <c r="A159" s="46" t="s">
        <v>207</v>
      </c>
      <c r="B159" s="333"/>
      <c r="C159" s="94"/>
      <c r="D159" s="96">
        <f>Data!C$109</f>
        <v>26.213</v>
      </c>
      <c r="E159" s="96">
        <f>Data!D$109</f>
        <v>28.637</v>
      </c>
      <c r="F159" s="175">
        <f ca="1">Data!E$109+IF(OFFSET(Scenarios!$A$62,0,$C$1)="Yes",F$164,0)+IF($L$1="Yes",F$292,0)</f>
        <v>29.094</v>
      </c>
      <c r="G159" s="175">
        <f ca="1">Data!F$109+IF(OFFSET(Scenarios!$A$62,0,$C$1)="Yes",G$164,0)+IF($L$1="Yes",G$292,0)</f>
        <v>29.74</v>
      </c>
      <c r="H159" s="175">
        <f ca="1">Data!G$109+IF(OFFSET(Scenarios!$A$62,0,$C$1)="Yes",H$164,0)+IF($L$1="Yes",H$292,0)</f>
        <v>29.913</v>
      </c>
      <c r="I159" s="175">
        <f ca="1">Data!H$109+IF(OFFSET(Scenarios!$A$62,0,$C$1)="Yes",I$164,0)+IF($L$1="Yes",I$292,0)</f>
        <v>29.765</v>
      </c>
      <c r="J159" s="175">
        <f ca="1">Data!I$109+IF(OFFSET(Scenarios!$A$62,0,$C$1)="Yes",J$164,0)+IF($L$1="Yes",J$292,0)</f>
        <v>29.562</v>
      </c>
      <c r="K159" s="100">
        <f ca="1">J$159+IF(OFFSET(Scenarios!$A$62,0,$C$1)="Yes",(K$164-J$164),0)</f>
        <v>29.562</v>
      </c>
      <c r="L159" s="100">
        <f ca="1">K$159+IF(OFFSET(Scenarios!$A$62,0,$C$1)="Yes",(L$164-K$164),0)</f>
        <v>29.562</v>
      </c>
      <c r="M159" s="100">
        <f ca="1">L$159+IF(OFFSET(Scenarios!$A$62,0,$C$1)="Yes",(M$164-L$164),0)</f>
        <v>29.562</v>
      </c>
      <c r="N159" s="100">
        <f ca="1">M$159+IF(OFFSET(Scenarios!$A$62,0,$C$1)="Yes",(N$164-M$164),0)</f>
        <v>29.562</v>
      </c>
      <c r="O159" s="100">
        <f ca="1">N$159+IF(OFFSET(Scenarios!$A$62,0,$C$1)="Yes",(O$164-N$164),0)</f>
        <v>29.562</v>
      </c>
      <c r="P159" s="100">
        <f ca="1">O$159+IF(OFFSET(Scenarios!$A$62,0,$C$1)="Yes",(P$164-O$164),0)</f>
        <v>29.562</v>
      </c>
      <c r="Q159" s="100">
        <f ca="1">P$159+IF(OFFSET(Scenarios!$A$62,0,$C$1)="Yes",(Q$164-P$164),0)</f>
        <v>29.562</v>
      </c>
      <c r="R159" s="100">
        <f ca="1">Q$159+IF(OFFSET(Scenarios!$A$62,0,$C$1)="Yes",(R$164-Q$164),0)</f>
        <v>29.562</v>
      </c>
      <c r="S159" s="100">
        <f ca="1">R$159+IF(OFFSET(Scenarios!$A$62,0,$C$1)="Yes",(S$164-R$164),0)</f>
        <v>29.562</v>
      </c>
      <c r="T159" s="100">
        <f ca="1">S$159+IF(OFFSET(Scenarios!$A$62,0,$C$1)="Yes",(T$164-S$164),0)</f>
        <v>29.562</v>
      </c>
    </row>
    <row r="160" spans="1:20" ht="12.75">
      <c r="A160" s="227" t="s">
        <v>461</v>
      </c>
      <c r="B160" s="94"/>
      <c r="C160" s="94"/>
      <c r="D160" s="243">
        <f>D$161-D$159</f>
        <v>69.38499999999999</v>
      </c>
      <c r="E160" s="243">
        <f aca="true" t="shared" si="79" ref="E160:J160">E$161-E$159</f>
        <v>74.692</v>
      </c>
      <c r="F160" s="174">
        <f t="shared" si="79"/>
        <v>77.404</v>
      </c>
      <c r="G160" s="174">
        <f t="shared" si="79"/>
        <v>80.51100000000001</v>
      </c>
      <c r="H160" s="174">
        <f t="shared" si="79"/>
        <v>83.604</v>
      </c>
      <c r="I160" s="174">
        <f t="shared" si="79"/>
        <v>85.999</v>
      </c>
      <c r="J160" s="174">
        <f t="shared" si="79"/>
        <v>88.924</v>
      </c>
      <c r="K160" s="106">
        <f aca="true" t="shared" si="80" ref="K160:T160">SUM(J$160,(K$26-K$31)-(J$26-J$31),(K$27-K$32)-(J$27-J$32),(K$15-K$22),-SUM(K$114-K$113,K$116-K$115,K$126-K$123,K$145-K$144,K$171-K$170)+SUM(J$114-J$113,J$116-J$115,J$126-J$123,J$145-J$144,J$171-J$170))</f>
        <v>91.8233674792915</v>
      </c>
      <c r="L160" s="106">
        <f t="shared" si="80"/>
        <v>95.25057142058796</v>
      </c>
      <c r="M160" s="106">
        <f t="shared" si="80"/>
        <v>99.03244031804293</v>
      </c>
      <c r="N160" s="106">
        <f t="shared" si="80"/>
        <v>102.6986442249457</v>
      </c>
      <c r="O160" s="106">
        <f t="shared" si="80"/>
        <v>106.58833039361066</v>
      </c>
      <c r="P160" s="106">
        <f t="shared" si="80"/>
        <v>110.76790676151712</v>
      </c>
      <c r="Q160" s="106">
        <f t="shared" si="80"/>
        <v>115.24951617688852</v>
      </c>
      <c r="R160" s="106">
        <f t="shared" si="80"/>
        <v>119.8594543739323</v>
      </c>
      <c r="S160" s="106">
        <f t="shared" si="80"/>
        <v>124.82244198191177</v>
      </c>
      <c r="T160" s="106">
        <f t="shared" si="80"/>
        <v>130.1278841140084</v>
      </c>
    </row>
    <row r="161" spans="1:20" ht="12.75">
      <c r="A161" s="46" t="s">
        <v>208</v>
      </c>
      <c r="B161" s="333"/>
      <c r="C161" s="94"/>
      <c r="D161" s="96">
        <f>Data!C$62</f>
        <v>95.598</v>
      </c>
      <c r="E161" s="96">
        <f>Data!D$62</f>
        <v>103.329</v>
      </c>
      <c r="F161" s="175">
        <f ca="1">Data!E$62+IF(OFFSET(Scenarios!$A$62,0,$C$1)="Yes",F$164,0)+IF($L$1="Yes",F$292,0)</f>
        <v>106.498</v>
      </c>
      <c r="G161" s="175">
        <f ca="1">Data!F$62+IF(OFFSET(Scenarios!$A$62,0,$C$1)="Yes",G$164,0)+IF($L$1="Yes",G$292,0)</f>
        <v>110.251</v>
      </c>
      <c r="H161" s="175">
        <f ca="1">Data!G$62+IF(OFFSET(Scenarios!$A$62,0,$C$1)="Yes",H$164,0)+IF($L$1="Yes",H$292,0)</f>
        <v>113.517</v>
      </c>
      <c r="I161" s="175">
        <f ca="1">Data!H$62+IF(OFFSET(Scenarios!$A$62,0,$C$1)="Yes",I$164,0)+IF($L$1="Yes",I$292,0)</f>
        <v>115.764</v>
      </c>
      <c r="J161" s="175">
        <f ca="1">Data!I$62+IF(OFFSET(Scenarios!$A$62,0,$C$1)="Yes",J$164,0)+IF($L$1="Yes",J$292,0)</f>
        <v>118.486</v>
      </c>
      <c r="K161" s="100">
        <f aca="true" t="shared" si="81" ref="K161:T161">SUM(K$159,K$160)</f>
        <v>121.3853674792915</v>
      </c>
      <c r="L161" s="100">
        <f t="shared" si="81"/>
        <v>124.81257142058796</v>
      </c>
      <c r="M161" s="100">
        <f t="shared" si="81"/>
        <v>128.59444031804293</v>
      </c>
      <c r="N161" s="100">
        <f t="shared" si="81"/>
        <v>132.2606442249457</v>
      </c>
      <c r="O161" s="100">
        <f t="shared" si="81"/>
        <v>136.15033039361066</v>
      </c>
      <c r="P161" s="100">
        <f t="shared" si="81"/>
        <v>140.32990676151712</v>
      </c>
      <c r="Q161" s="100">
        <f t="shared" si="81"/>
        <v>144.81151617688852</v>
      </c>
      <c r="R161" s="100">
        <f t="shared" si="81"/>
        <v>149.4214543739323</v>
      </c>
      <c r="S161" s="100">
        <f t="shared" si="81"/>
        <v>154.38444198191178</v>
      </c>
      <c r="T161" s="100">
        <f t="shared" si="81"/>
        <v>159.6898841140084</v>
      </c>
    </row>
    <row r="162" spans="1:20" ht="12.75">
      <c r="A162" s="46"/>
      <c r="B162" s="62"/>
      <c r="C162" s="94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</row>
    <row r="163" spans="1:20" ht="12.75">
      <c r="A163" s="145" t="s">
        <v>760</v>
      </c>
      <c r="B163" s="102"/>
      <c r="C163" s="94"/>
      <c r="D163" s="96">
        <f>D$164-C$164</f>
        <v>0</v>
      </c>
      <c r="E163" s="96">
        <f>E$164-D$164</f>
        <v>0</v>
      </c>
      <c r="F163" s="175">
        <f ca="1">IF(OFFSET(Scenarios!$A$62,0,$C$1)="Yes",0,F$164-E$164)</f>
        <v>0</v>
      </c>
      <c r="G163" s="175">
        <f ca="1">IF(OFFSET(Scenarios!$A$62,0,$C$1)="Yes",0,G$164-F$164)</f>
        <v>0.072</v>
      </c>
      <c r="H163" s="175">
        <f ca="1">IF(OFFSET(Scenarios!$A$62,0,$C$1)="Yes",0,H$164-G$164)</f>
        <v>0.7020000000000001</v>
      </c>
      <c r="I163" s="175">
        <f ca="1">IF(OFFSET(Scenarios!$A$62,0,$C$1)="Yes",0,I$164-H$164)</f>
        <v>1.152</v>
      </c>
      <c r="J163" s="175">
        <f ca="1">IF(OFFSET(Scenarios!$A$62,0,$C$1)="Yes",0,J$164-I$164)</f>
        <v>1.45</v>
      </c>
      <c r="K163" s="100">
        <f ca="1">IF(OFFSET(Scenarios!$A$62,0,$C$1)="Yes",0,IF(OFFSET(Scenarios!$A$34,0,$C$1)="Yes",Tracks!B$122,IF(K$2="Proj Yr1",OFFSET(Scenarios!$A$29,0,$C$1),J$163*(1+IF(OFFSET(Scenarios!$A$33,0,$C$1)="GDP",K$204,IF(OFFSET(Scenarios!$A$33,0,$C$1)="CPI",K$206,0))))))</f>
        <v>1.65</v>
      </c>
      <c r="L163" s="100">
        <f ca="1">IF(OFFSET(Scenarios!$A$62,0,$C$1)="Yes",0,IF(OFFSET(Scenarios!$A$34,0,$C$1)="Yes",Tracks!C$122,IF(L$2="Proj Yr1",OFFSET(Scenarios!$A$29,0,$C$1),K$163*(1+IF(OFFSET(Scenarios!$A$33,0,$C$1)="GDP",L$204,IF(OFFSET(Scenarios!$A$33,0,$C$1)="CPI",L$206,0))))))</f>
        <v>1.65</v>
      </c>
      <c r="M163" s="100">
        <f ca="1">IF(OFFSET(Scenarios!$A$62,0,$C$1)="Yes",0,IF(OFFSET(Scenarios!$A$34,0,$C$1)="Yes",Tracks!D$122,IF(M$2="Proj Yr1",OFFSET(Scenarios!$A$29,0,$C$1),L$163*(1+IF(OFFSET(Scenarios!$A$33,0,$C$1)="GDP",M$204,IF(OFFSET(Scenarios!$A$33,0,$C$1)="CPI",M$206,0))))))</f>
        <v>1.65</v>
      </c>
      <c r="N163" s="100">
        <f ca="1">IF(OFFSET(Scenarios!$A$62,0,$C$1)="Yes",0,IF(OFFSET(Scenarios!$A$34,0,$C$1)="Yes",Tracks!E$122,IF(N$2="Proj Yr1",OFFSET(Scenarios!$A$29,0,$C$1),M$163*(1+IF(OFFSET(Scenarios!$A$33,0,$C$1)="GDP",N$204,IF(OFFSET(Scenarios!$A$33,0,$C$1)="CPI",N$206,0))))))</f>
        <v>0.9550871999999999</v>
      </c>
      <c r="O163" s="100">
        <f ca="1">IF(OFFSET(Scenarios!$A$62,0,$C$1)="Yes",0,IF(OFFSET(Scenarios!$A$34,0,$C$1)="Yes",Tracks!F$122,IF(O$2="Proj Yr1",OFFSET(Scenarios!$A$29,0,$C$1),N$163*(1+IF(OFFSET(Scenarios!$A$33,0,$C$1)="GDP",O$204,IF(OFFSET(Scenarios!$A$33,0,$C$1)="CPI",O$206,0))))))</f>
        <v>0.974188944</v>
      </c>
      <c r="P163" s="100">
        <f ca="1">IF(OFFSET(Scenarios!$A$62,0,$C$1)="Yes",0,IF(OFFSET(Scenarios!$A$34,0,$C$1)="Yes",Tracks!G$122,IF(P$2="Proj Yr1",OFFSET(Scenarios!$A$29,0,$C$1),O$163*(1+IF(OFFSET(Scenarios!$A$33,0,$C$1)="GDP",P$204,IF(OFFSET(Scenarios!$A$33,0,$C$1)="CPI",P$206,0))))))</f>
        <v>0.9936727228800001</v>
      </c>
      <c r="Q163" s="100">
        <f ca="1">IF(OFFSET(Scenarios!$A$62,0,$C$1)="Yes",0,IF(OFFSET(Scenarios!$A$34,0,$C$1)="Yes",Tracks!H$122,IF(Q$2="Proj Yr1",OFFSET(Scenarios!$A$29,0,$C$1),P$163*(1+IF(OFFSET(Scenarios!$A$33,0,$C$1)="GDP",Q$204,IF(OFFSET(Scenarios!$A$33,0,$C$1)="CPI",Q$206,0))))))</f>
        <v>1.0135461773376</v>
      </c>
      <c r="R163" s="100">
        <f ca="1">IF(OFFSET(Scenarios!$A$62,0,$C$1)="Yes",0,IF(OFFSET(Scenarios!$A$34,0,$C$1)="Yes",Tracks!I$122,IF(R$2="Proj Yr1",OFFSET(Scenarios!$A$29,0,$C$1),Q$163*(1+IF(OFFSET(Scenarios!$A$33,0,$C$1)="GDP",R$204,IF(OFFSET(Scenarios!$A$33,0,$C$1)="CPI",R$206,0))))))</f>
        <v>1.033817100884352</v>
      </c>
      <c r="S163" s="100">
        <f ca="1">IF(OFFSET(Scenarios!$A$62,0,$C$1)="Yes",0,IF(OFFSET(Scenarios!$A$34,0,$C$1)="Yes",Tracks!J$122,IF(S$2="Proj Yr1",OFFSET(Scenarios!$A$29,0,$C$1),R$163*(1+IF(OFFSET(Scenarios!$A$33,0,$C$1)="GDP",S$204,IF(OFFSET(Scenarios!$A$33,0,$C$1)="CPI",S$206,0))))))</f>
        <v>1.054493442902039</v>
      </c>
      <c r="T163" s="100">
        <f ca="1">IF(OFFSET(Scenarios!$A$62,0,$C$1)="Yes",0,IF(OFFSET(Scenarios!$A$34,0,$C$1)="Yes",Tracks!K$122,IF(T$2="Proj Yr1",OFFSET(Scenarios!$A$29,0,$C$1),S$163*(1+IF(OFFSET(Scenarios!$A$33,0,$C$1)="GDP",T$204,IF(OFFSET(Scenarios!$A$33,0,$C$1)="CPI",T$206,0))))))</f>
        <v>1.0755833117600797</v>
      </c>
    </row>
    <row r="164" spans="1:20" ht="12.75">
      <c r="A164" s="323" t="s">
        <v>331</v>
      </c>
      <c r="B164" s="333"/>
      <c r="C164" s="94"/>
      <c r="D164" s="94">
        <f>Data!C$65</f>
        <v>0</v>
      </c>
      <c r="E164" s="94">
        <f>Data!D$65</f>
        <v>0</v>
      </c>
      <c r="F164" s="141">
        <f>Data!E$65+IF($I$1="Yes",F$261,0)</f>
        <v>0</v>
      </c>
      <c r="G164" s="141">
        <f>Data!F$65+IF($I$1="Yes",G$261,0)</f>
        <v>0.072</v>
      </c>
      <c r="H164" s="141">
        <f>Data!G$65+IF($I$1="Yes",H$261,0)</f>
        <v>0.774</v>
      </c>
      <c r="I164" s="141">
        <f>Data!H$65+IF($I$1="Yes",I$261,0)</f>
        <v>1.926</v>
      </c>
      <c r="J164" s="141">
        <f>Data!I$65+IF($I$1="Yes",J$261,0)</f>
        <v>3.376</v>
      </c>
      <c r="K164" s="135">
        <f ca="1">J$164+IF(OFFSET(Scenarios!$A$34,0,$C$1)="Yes",Tracks!B$122,IF(K$2="Proj Yr1",OFFSET(Scenarios!$A$29,0,$C$1),(J$164-I$164)*(1+IF(OFFSET(Scenarios!$A$33,0,$C$1)="GDP",K$204,IF(OFFSET(Scenarios!$A$33,0,$C$1)="CPI",K$206,0)))))</f>
        <v>5.026</v>
      </c>
      <c r="L164" s="135">
        <f ca="1">K$164+IF(OFFSET(Scenarios!$A$34,0,$C$1)="Yes",Tracks!C$122,IF(L$2="Proj Yr1",OFFSET(Scenarios!$A$29,0,$C$1),(K$164-J$164)*(1+IF(OFFSET(Scenarios!$A$33,0,$C$1)="GDP",L$204,IF(OFFSET(Scenarios!$A$33,0,$C$1)="CPI",L$206,0)))))</f>
        <v>6.676</v>
      </c>
      <c r="M164" s="135">
        <f ca="1">L$164+IF(OFFSET(Scenarios!$A$34,0,$C$1)="Yes",Tracks!D$122,IF(M$2="Proj Yr1",OFFSET(Scenarios!$A$29,0,$C$1),(L$164-K$164)*(1+IF(OFFSET(Scenarios!$A$33,0,$C$1)="GDP",M$204,IF(OFFSET(Scenarios!$A$33,0,$C$1)="CPI",M$206,0)))))</f>
        <v>8.326</v>
      </c>
      <c r="N164" s="135">
        <f ca="1">M$164+IF(OFFSET(Scenarios!$A$34,0,$C$1)="Yes",Tracks!E$122,IF(N$2="Proj Yr1",OFFSET(Scenarios!$A$29,0,$C$1),(M$164-L$164)*(1+IF(OFFSET(Scenarios!$A$33,0,$C$1)="GDP",N$204,IF(OFFSET(Scenarios!$A$33,0,$C$1)="CPI",N$206,0)))))</f>
        <v>9.2810872</v>
      </c>
      <c r="O164" s="135">
        <f ca="1">N$164+IF(OFFSET(Scenarios!$A$34,0,$C$1)="Yes",Tracks!F$122,IF(O$2="Proj Yr1",OFFSET(Scenarios!$A$29,0,$C$1),(N$164-M$164)*(1+IF(OFFSET(Scenarios!$A$33,0,$C$1)="GDP",O$204,IF(OFFSET(Scenarios!$A$33,0,$C$1)="CPI",O$206,0)))))</f>
        <v>10.255276144</v>
      </c>
      <c r="P164" s="135">
        <f ca="1">O$164+IF(OFFSET(Scenarios!$A$34,0,$C$1)="Yes",Tracks!G$122,IF(P$2="Proj Yr1",OFFSET(Scenarios!$A$29,0,$C$1),(O$164-N$164)*(1+IF(OFFSET(Scenarios!$A$33,0,$C$1)="GDP",P$204,IF(OFFSET(Scenarios!$A$33,0,$C$1)="CPI",P$206,0)))))</f>
        <v>11.24894886688</v>
      </c>
      <c r="Q164" s="135">
        <f ca="1">P$164+IF(OFFSET(Scenarios!$A$34,0,$C$1)="Yes",Tracks!H$122,IF(Q$2="Proj Yr1",OFFSET(Scenarios!$A$29,0,$C$1),(P$164-O$164)*(1+IF(OFFSET(Scenarios!$A$33,0,$C$1)="GDP",Q$204,IF(OFFSET(Scenarios!$A$33,0,$C$1)="CPI",Q$206,0)))))</f>
        <v>12.2624950442176</v>
      </c>
      <c r="R164" s="135">
        <f ca="1">Q$164+IF(OFFSET(Scenarios!$A$34,0,$C$1)="Yes",Tracks!I$122,IF(R$2="Proj Yr1",OFFSET(Scenarios!$A$29,0,$C$1),(Q$164-P$164)*(1+IF(OFFSET(Scenarios!$A$33,0,$C$1)="GDP",R$204,IF(OFFSET(Scenarios!$A$33,0,$C$1)="CPI",R$206,0)))))</f>
        <v>13.296312145101952</v>
      </c>
      <c r="S164" s="135">
        <f ca="1">R$164+IF(OFFSET(Scenarios!$A$34,0,$C$1)="Yes",Tracks!J$122,IF(S$2="Proj Yr1",OFFSET(Scenarios!$A$29,0,$C$1),(R$164-Q$164)*(1+IF(OFFSET(Scenarios!$A$33,0,$C$1)="GDP",S$204,IF(OFFSET(Scenarios!$A$33,0,$C$1)="CPI",S$206,0)))))</f>
        <v>14.350805588003992</v>
      </c>
      <c r="T164" s="135">
        <f ca="1">S$164+IF(OFFSET(Scenarios!$A$34,0,$C$1)="Yes",Tracks!K$122,IF(T$2="Proj Yr1",OFFSET(Scenarios!$A$29,0,$C$1),(S$164-R$164)*(1+IF(OFFSET(Scenarios!$A$33,0,$C$1)="GDP",T$204,IF(OFFSET(Scenarios!$A$33,0,$C$1)="CPI",T$206,0)))))</f>
        <v>15.42638889976407</v>
      </c>
    </row>
    <row r="165" spans="1:20" ht="12.75">
      <c r="A165" s="46"/>
      <c r="B165" s="102"/>
      <c r="C165" s="94"/>
      <c r="D165" s="136"/>
      <c r="E165" s="136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</row>
    <row r="166" spans="1:19" ht="12.75">
      <c r="A166" s="145" t="s">
        <v>761</v>
      </c>
      <c r="B166" s="102"/>
      <c r="C166" s="94"/>
      <c r="D166" s="94"/>
      <c r="E166" s="94"/>
      <c r="F166" s="94"/>
      <c r="G166" s="94"/>
      <c r="H166" s="94"/>
      <c r="I166" s="94"/>
      <c r="J166" s="94"/>
      <c r="K166"/>
      <c r="L166"/>
      <c r="M166"/>
      <c r="N166"/>
      <c r="O166"/>
      <c r="P166"/>
      <c r="Q166"/>
      <c r="R166"/>
      <c r="S166"/>
    </row>
    <row r="167" spans="1:20" ht="12.75">
      <c r="A167" s="226" t="s">
        <v>369</v>
      </c>
      <c r="B167" s="333"/>
      <c r="C167" s="94"/>
      <c r="D167" s="94">
        <f>Data!C$110</f>
        <v>25.049</v>
      </c>
      <c r="E167" s="94">
        <f>Data!D$110</f>
        <v>25.696</v>
      </c>
      <c r="F167" s="141">
        <f>Data!E$110</f>
        <v>27.462</v>
      </c>
      <c r="G167" s="141">
        <f>Data!F$110</f>
        <v>29.205</v>
      </c>
      <c r="H167" s="141">
        <f>Data!G$110</f>
        <v>30.495</v>
      </c>
      <c r="I167" s="141">
        <f>Data!H$110</f>
        <v>31.42</v>
      </c>
      <c r="J167" s="141">
        <f>Data!I$110</f>
        <v>32.135</v>
      </c>
      <c r="K167" s="98">
        <f aca="true" t="shared" si="82" ref="K167:T167">J$167*(1+K$206)</f>
        <v>32.74723426176298</v>
      </c>
      <c r="L167" s="98">
        <f t="shared" si="82"/>
        <v>33.40217894699824</v>
      </c>
      <c r="M167" s="98">
        <f t="shared" si="82"/>
        <v>34.070222525938206</v>
      </c>
      <c r="N167" s="98">
        <f t="shared" si="82"/>
        <v>34.75162697645697</v>
      </c>
      <c r="O167" s="98">
        <f t="shared" si="82"/>
        <v>35.446659515986106</v>
      </c>
      <c r="P167" s="98">
        <f t="shared" si="82"/>
        <v>36.15559270630583</v>
      </c>
      <c r="Q167" s="98">
        <f t="shared" si="82"/>
        <v>36.87870456043195</v>
      </c>
      <c r="R167" s="98">
        <f t="shared" si="82"/>
        <v>37.61627865164059</v>
      </c>
      <c r="S167" s="98">
        <f t="shared" si="82"/>
        <v>38.368604224673405</v>
      </c>
      <c r="T167" s="98">
        <f t="shared" si="82"/>
        <v>39.13597630916687</v>
      </c>
    </row>
    <row r="168" spans="1:20" ht="12.75">
      <c r="A168" s="226" t="s">
        <v>636</v>
      </c>
      <c r="B168" s="333"/>
      <c r="C168" s="94"/>
      <c r="D168" s="94">
        <f>Data!C$111</f>
        <v>0.804</v>
      </c>
      <c r="E168" s="94">
        <f>Data!D$111</f>
        <v>0.845</v>
      </c>
      <c r="F168" s="141">
        <f>Data!E$111</f>
        <v>0.933</v>
      </c>
      <c r="G168" s="141">
        <f>Data!F$111</f>
        <v>1.036</v>
      </c>
      <c r="H168" s="141">
        <f>Data!G$111</f>
        <v>1.049</v>
      </c>
      <c r="I168" s="141">
        <f>Data!H$111</f>
        <v>1.103</v>
      </c>
      <c r="J168" s="141">
        <f>Data!I$111</f>
        <v>1.019</v>
      </c>
      <c r="K168" s="98">
        <f aca="true" t="shared" si="83" ref="K168:T168">J$168*(1+K$206)</f>
        <v>1.0384139322463508</v>
      </c>
      <c r="L168" s="98">
        <f t="shared" si="83"/>
        <v>1.0591822108912778</v>
      </c>
      <c r="M168" s="98">
        <f t="shared" si="83"/>
        <v>1.0803658551091033</v>
      </c>
      <c r="N168" s="98">
        <f t="shared" si="83"/>
        <v>1.1019731722112853</v>
      </c>
      <c r="O168" s="98">
        <f t="shared" si="83"/>
        <v>1.1240126356555111</v>
      </c>
      <c r="P168" s="98">
        <f t="shared" si="83"/>
        <v>1.1464928883686214</v>
      </c>
      <c r="Q168" s="98">
        <f t="shared" si="83"/>
        <v>1.1694227461359938</v>
      </c>
      <c r="R168" s="98">
        <f t="shared" si="83"/>
        <v>1.1928112010587137</v>
      </c>
      <c r="S168" s="98">
        <f t="shared" si="83"/>
        <v>1.2166674250798881</v>
      </c>
      <c r="T168" s="98">
        <f t="shared" si="83"/>
        <v>1.2410007735814859</v>
      </c>
    </row>
    <row r="169" spans="1:20" ht="12.75">
      <c r="A169" s="226" t="s">
        <v>764</v>
      </c>
      <c r="B169" s="333"/>
      <c r="C169" s="94"/>
      <c r="D169" s="243">
        <f>SUM(Data!C$112,Data!C$66)</f>
        <v>1.062</v>
      </c>
      <c r="E169" s="243">
        <f>SUM(Data!D$112,Data!D$66)</f>
        <v>1.375</v>
      </c>
      <c r="F169" s="174">
        <f>SUM(Data!E$112,Data!E$66)</f>
        <v>1.0590000000000002</v>
      </c>
      <c r="G169" s="174">
        <f>SUM(Data!F$112,Data!F$66)</f>
        <v>0.95</v>
      </c>
      <c r="H169" s="174">
        <f>SUM(Data!G$112,Data!G$66)</f>
        <v>0.9319999999999999</v>
      </c>
      <c r="I169" s="174">
        <f>SUM(Data!H$112,Data!H$66)</f>
        <v>0.9179999999999999</v>
      </c>
      <c r="J169" s="174">
        <f>SUM(Data!I$112,Data!I$66)</f>
        <v>0.8720000000000001</v>
      </c>
      <c r="K169" s="106">
        <f aca="true" t="shared" si="84" ref="K169:T169">J$169*(1+K$206)</f>
        <v>0.888613296289321</v>
      </c>
      <c r="L169" s="106">
        <f t="shared" si="84"/>
        <v>0.9063855622151074</v>
      </c>
      <c r="M169" s="106">
        <f t="shared" si="84"/>
        <v>0.9245132734594095</v>
      </c>
      <c r="N169" s="106">
        <f t="shared" si="84"/>
        <v>0.9430035389285977</v>
      </c>
      <c r="O169" s="106">
        <f t="shared" si="84"/>
        <v>0.9618636097071697</v>
      </c>
      <c r="P169" s="106">
        <f t="shared" si="84"/>
        <v>0.9811008819013131</v>
      </c>
      <c r="Q169" s="106">
        <f t="shared" si="84"/>
        <v>1.0007228995393394</v>
      </c>
      <c r="R169" s="106">
        <f t="shared" si="84"/>
        <v>1.0207373575301262</v>
      </c>
      <c r="S169" s="106">
        <f t="shared" si="84"/>
        <v>1.0411521046807288</v>
      </c>
      <c r="T169" s="106">
        <f t="shared" si="84"/>
        <v>1.0619751467743435</v>
      </c>
    </row>
    <row r="170" spans="1:20" ht="12.75">
      <c r="A170" s="46" t="s">
        <v>462</v>
      </c>
      <c r="B170" s="102"/>
      <c r="C170" s="94"/>
      <c r="D170" s="96">
        <f aca="true" t="shared" si="85" ref="D170:T170">SUM(D$167:D$169)</f>
        <v>26.915</v>
      </c>
      <c r="E170" s="96">
        <f t="shared" si="85"/>
        <v>27.916</v>
      </c>
      <c r="F170" s="175">
        <f t="shared" si="85"/>
        <v>29.454</v>
      </c>
      <c r="G170" s="175">
        <f t="shared" si="85"/>
        <v>31.191</v>
      </c>
      <c r="H170" s="175">
        <f t="shared" si="85"/>
        <v>32.476</v>
      </c>
      <c r="I170" s="175">
        <f t="shared" si="85"/>
        <v>33.441</v>
      </c>
      <c r="J170" s="175">
        <f t="shared" si="85"/>
        <v>34.025999999999996</v>
      </c>
      <c r="K170" s="100">
        <f t="shared" si="85"/>
        <v>34.674261490298655</v>
      </c>
      <c r="L170" s="100">
        <f t="shared" si="85"/>
        <v>35.36774672010463</v>
      </c>
      <c r="M170" s="100">
        <f t="shared" si="85"/>
        <v>36.07510165450672</v>
      </c>
      <c r="N170" s="100">
        <f t="shared" si="85"/>
        <v>36.79660368759686</v>
      </c>
      <c r="O170" s="100">
        <f t="shared" si="85"/>
        <v>37.53253576134879</v>
      </c>
      <c r="P170" s="100">
        <f t="shared" si="85"/>
        <v>38.283186476575764</v>
      </c>
      <c r="Q170" s="100">
        <f t="shared" si="85"/>
        <v>39.04885020610728</v>
      </c>
      <c r="R170" s="100">
        <f t="shared" si="85"/>
        <v>39.82982721022943</v>
      </c>
      <c r="S170" s="100">
        <f t="shared" si="85"/>
        <v>40.62642375443402</v>
      </c>
      <c r="T170" s="100">
        <f t="shared" si="85"/>
        <v>41.4389522295227</v>
      </c>
    </row>
    <row r="171" spans="1:20" ht="12.75">
      <c r="A171" s="46" t="s">
        <v>463</v>
      </c>
      <c r="B171" s="333"/>
      <c r="C171" s="94"/>
      <c r="D171" s="96">
        <f>SUM(Data!C$60:C$61,Data!C$63:C$64,Data!C$66)</f>
        <v>11.030999999999999</v>
      </c>
      <c r="E171" s="96">
        <f>SUM(Data!D$60:D$61,Data!D$63:D$64,Data!D$66)</f>
        <v>12.443</v>
      </c>
      <c r="F171" s="175">
        <f>SUM(Data!E$60:E$61,Data!E$63:E$64,Data!E$66)</f>
        <v>13.104000000000001</v>
      </c>
      <c r="G171" s="175">
        <f>SUM(Data!F$60:F$61,Data!F$63:F$64,Data!F$66)</f>
        <v>13.639</v>
      </c>
      <c r="H171" s="175">
        <f>SUM(Data!G$60:G$61,Data!G$63:G$64,Data!G$66)</f>
        <v>14.176</v>
      </c>
      <c r="I171" s="175">
        <f>SUM(Data!H$60:H$61,Data!H$63:H$64,Data!H$66)</f>
        <v>14.427</v>
      </c>
      <c r="J171" s="175">
        <f>SUM(Data!I$60:I$61,Data!I$63:I$64,Data!I$66)</f>
        <v>14.253</v>
      </c>
      <c r="K171" s="100">
        <f aca="true" t="shared" si="86" ref="K171:T171">J$171*(1+K$206)</f>
        <v>14.524547376160195</v>
      </c>
      <c r="L171" s="100">
        <f t="shared" si="86"/>
        <v>14.8150383236834</v>
      </c>
      <c r="M171" s="100">
        <f t="shared" si="86"/>
        <v>15.111339090157069</v>
      </c>
      <c r="N171" s="100">
        <f t="shared" si="86"/>
        <v>15.41356587196021</v>
      </c>
      <c r="O171" s="100">
        <f t="shared" si="86"/>
        <v>15.721837189399416</v>
      </c>
      <c r="P171" s="100">
        <f t="shared" si="86"/>
        <v>16.036273933187406</v>
      </c>
      <c r="Q171" s="100">
        <f t="shared" si="86"/>
        <v>16.356999411851156</v>
      </c>
      <c r="R171" s="100">
        <f t="shared" si="86"/>
        <v>16.684139400088178</v>
      </c>
      <c r="S171" s="100">
        <f t="shared" si="86"/>
        <v>17.01782218808994</v>
      </c>
      <c r="T171" s="100">
        <f t="shared" si="86"/>
        <v>17.35817863185174</v>
      </c>
    </row>
    <row r="172" spans="1:20" ht="12.75">
      <c r="A172" s="323" t="s">
        <v>799</v>
      </c>
      <c r="B172" s="333"/>
      <c r="C172" s="94"/>
      <c r="D172" s="442">
        <f>SUM(D$113,D$123)-Data!C$85</f>
        <v>0.22299999999999898</v>
      </c>
      <c r="E172" s="442">
        <f>SUM(E$113,E$123)-Data!D$85</f>
        <v>-0.10099999999999909</v>
      </c>
      <c r="F172" s="221">
        <f>SUM(F$113,F$123)-Data!E$85-IF($I$1="Yes",F$260,0)-IF($L$1="Yes",F$291,0)</f>
        <v>0.3159999999999954</v>
      </c>
      <c r="G172" s="221">
        <f>SUM(G$113,G$123)-Data!F$85-IF($I$1="Yes",G$260,0)-IF($L$1="Yes",G$291,0)</f>
        <v>0.31399999999999295</v>
      </c>
      <c r="H172" s="221">
        <f>SUM(H$113,H$123)-Data!G$85-IF($I$1="Yes",H$260,0)-IF($L$1="Yes",H$291,0)</f>
        <v>0.3149999999999977</v>
      </c>
      <c r="I172" s="221">
        <f>SUM(I$113,I$123)-Data!H$85-IF($I$1="Yes",I$260,0)-IF($L$1="Yes",I$291,0)</f>
        <v>0.31699999999999307</v>
      </c>
      <c r="J172" s="221">
        <f>SUM(J$113,J$123)-Data!I$85-IF($I$1="Yes",J$260,0)-IF($L$1="Yes",J$291,0)</f>
        <v>0.3159999999999954</v>
      </c>
      <c r="K172" s="338">
        <f aca="true" t="shared" si="87" ref="K172:T172">J$172*(1+K$206)</f>
        <v>0.3220204147103455</v>
      </c>
      <c r="L172" s="338">
        <f t="shared" si="87"/>
        <v>0.32846082300455237</v>
      </c>
      <c r="M172" s="338">
        <f t="shared" si="87"/>
        <v>0.33503003946464344</v>
      </c>
      <c r="N172" s="338">
        <f t="shared" si="87"/>
        <v>0.3417306402539363</v>
      </c>
      <c r="O172" s="338">
        <f t="shared" si="87"/>
        <v>0.34856525305901503</v>
      </c>
      <c r="P172" s="338">
        <f t="shared" si="87"/>
        <v>0.35553655812019536</v>
      </c>
      <c r="Q172" s="338">
        <f t="shared" si="87"/>
        <v>0.36264728928259926</v>
      </c>
      <c r="R172" s="338">
        <f t="shared" si="87"/>
        <v>0.36990023506825126</v>
      </c>
      <c r="S172" s="338">
        <f t="shared" si="87"/>
        <v>0.3772982397696163</v>
      </c>
      <c r="T172" s="338">
        <f t="shared" si="87"/>
        <v>0.3848442045650086</v>
      </c>
    </row>
    <row r="173" spans="1:20" ht="12.75">
      <c r="A173" s="50"/>
      <c r="B173" s="102"/>
      <c r="C173" s="94"/>
      <c r="D173" s="136"/>
      <c r="E173" s="136"/>
      <c r="F173" s="142"/>
      <c r="G173" s="142"/>
      <c r="H173" s="142"/>
      <c r="I173" s="142"/>
      <c r="J173" s="142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</row>
    <row r="174" spans="1:20" ht="12.75">
      <c r="A174" s="145" t="s">
        <v>762</v>
      </c>
      <c r="B174" s="102"/>
      <c r="C174" s="94"/>
      <c r="D174" s="136"/>
      <c r="E174" s="136"/>
      <c r="F174" s="142"/>
      <c r="G174" s="142"/>
      <c r="H174" s="142"/>
      <c r="I174" s="142"/>
      <c r="J174" s="142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</row>
    <row r="175" spans="1:20" ht="12.75">
      <c r="A175" s="323" t="s">
        <v>116</v>
      </c>
      <c r="B175" s="333"/>
      <c r="C175" s="94"/>
      <c r="D175" s="94">
        <f>Data!C$182</f>
        <v>0.704</v>
      </c>
      <c r="E175" s="94">
        <f>Data!D$182</f>
        <v>0.562</v>
      </c>
      <c r="F175" s="141">
        <f>Data!E$182</f>
        <v>0</v>
      </c>
      <c r="G175" s="141">
        <f>Data!F$182</f>
        <v>0</v>
      </c>
      <c r="H175" s="141">
        <f>Data!G$182</f>
        <v>0</v>
      </c>
      <c r="I175" s="141">
        <f>Data!H$182</f>
        <v>0</v>
      </c>
      <c r="J175" s="141">
        <f>Data!I$182</f>
        <v>0</v>
      </c>
      <c r="K175" s="105">
        <f>Tracks!H$112</f>
        <v>0</v>
      </c>
      <c r="L175" s="105">
        <f>Tracks!I$112</f>
        <v>0</v>
      </c>
      <c r="M175" s="105">
        <f>Tracks!J$112</f>
        <v>0</v>
      </c>
      <c r="N175" s="105">
        <f>Tracks!K$112</f>
        <v>0</v>
      </c>
      <c r="O175" s="105">
        <f>Tracks!L$112</f>
        <v>0</v>
      </c>
      <c r="P175" s="105">
        <f>Tracks!M$112</f>
        <v>0</v>
      </c>
      <c r="Q175" s="105">
        <f>Tracks!N$112</f>
        <v>0</v>
      </c>
      <c r="R175" s="105">
        <f>Tracks!O$112</f>
        <v>0</v>
      </c>
      <c r="S175" s="105">
        <f>Tracks!P$112</f>
        <v>0</v>
      </c>
      <c r="T175" s="105">
        <f>Tracks!Q$112</f>
        <v>0</v>
      </c>
    </row>
    <row r="176" spans="1:20" ht="12.75">
      <c r="A176" s="323" t="s">
        <v>747</v>
      </c>
      <c r="B176" s="333"/>
      <c r="C176" s="94"/>
      <c r="D176" s="94">
        <f>Data!C$183</f>
        <v>0</v>
      </c>
      <c r="E176" s="94">
        <f>Data!D$183</f>
        <v>0</v>
      </c>
      <c r="F176" s="141">
        <f>Data!E$183</f>
        <v>0.023</v>
      </c>
      <c r="G176" s="141">
        <f>Data!F$183</f>
        <v>0.173</v>
      </c>
      <c r="H176" s="141">
        <f>Data!G$183</f>
        <v>0.197</v>
      </c>
      <c r="I176" s="141">
        <f>Data!H$183</f>
        <v>-0.069</v>
      </c>
      <c r="J176" s="141">
        <f>Data!I$183</f>
        <v>0.238</v>
      </c>
      <c r="K176" s="105">
        <f>Tracks!H$117</f>
        <v>0</v>
      </c>
      <c r="L176" s="105">
        <f>Tracks!I$117</f>
        <v>0</v>
      </c>
      <c r="M176" s="105">
        <f>Tracks!J$117</f>
        <v>0</v>
      </c>
      <c r="N176" s="105">
        <f>Tracks!K$117</f>
        <v>0</v>
      </c>
      <c r="O176" s="105">
        <f>Tracks!L$117</f>
        <v>0</v>
      </c>
      <c r="P176" s="105">
        <f>Tracks!M$117</f>
        <v>0</v>
      </c>
      <c r="Q176" s="105">
        <f>Tracks!N$117</f>
        <v>0</v>
      </c>
      <c r="R176" s="105">
        <f>Tracks!O$117</f>
        <v>0</v>
      </c>
      <c r="S176" s="105">
        <f>Tracks!P$117</f>
        <v>0</v>
      </c>
      <c r="T176" s="105">
        <f>Tracks!Q$117</f>
        <v>0</v>
      </c>
    </row>
    <row r="177" spans="1:20" ht="12.75">
      <c r="A177" s="323" t="s">
        <v>748</v>
      </c>
      <c r="B177" s="333"/>
      <c r="C177" s="94"/>
      <c r="D177" s="94">
        <f>Data!C$184</f>
        <v>0</v>
      </c>
      <c r="E177" s="94">
        <f>Data!D$184</f>
        <v>0</v>
      </c>
      <c r="F177" s="141">
        <f>Data!E$184</f>
        <v>0</v>
      </c>
      <c r="G177" s="141">
        <f>Data!F$184</f>
        <v>0.321</v>
      </c>
      <c r="H177" s="141">
        <f>Data!G$184</f>
        <v>0.72</v>
      </c>
      <c r="I177" s="141">
        <f>Data!H$184</f>
        <v>0.902</v>
      </c>
      <c r="J177" s="141">
        <f>Data!I$184</f>
        <v>1.377</v>
      </c>
      <c r="K177" s="105">
        <f>Tracks!H$114</f>
        <v>1.35</v>
      </c>
      <c r="L177" s="105">
        <f>Tracks!I$114</f>
        <v>1.35</v>
      </c>
      <c r="M177" s="105">
        <f>Tracks!J$114</f>
        <v>1.35</v>
      </c>
      <c r="N177" s="105">
        <f>Tracks!K$114</f>
        <v>1.35</v>
      </c>
      <c r="O177" s="105">
        <f>Tracks!L$114</f>
        <v>1.35</v>
      </c>
      <c r="P177" s="105">
        <f>Tracks!M$114</f>
        <v>1.2479166666666666</v>
      </c>
      <c r="Q177" s="105">
        <f>Tracks!N$114</f>
        <v>1.1458333333333335</v>
      </c>
      <c r="R177" s="105">
        <f>Tracks!O$114</f>
        <v>1.04375</v>
      </c>
      <c r="S177" s="105">
        <f>Tracks!P$114</f>
        <v>0.9416666666666667</v>
      </c>
      <c r="T177" s="105">
        <f>Tracks!Q$114</f>
        <v>0.8395833333333333</v>
      </c>
    </row>
    <row r="178" spans="1:20" ht="12.75">
      <c r="A178" s="323" t="s">
        <v>749</v>
      </c>
      <c r="B178" s="333"/>
      <c r="C178" s="94"/>
      <c r="D178" s="94">
        <f>Data!C$185</f>
        <v>0</v>
      </c>
      <c r="E178" s="94">
        <f>Data!D$185</f>
        <v>0</v>
      </c>
      <c r="F178" s="141">
        <f>Data!E$185</f>
        <v>0.023</v>
      </c>
      <c r="G178" s="141">
        <f>Data!F$185</f>
        <v>0.471</v>
      </c>
      <c r="H178" s="141">
        <f>Data!G$185</f>
        <v>0.744</v>
      </c>
      <c r="I178" s="141">
        <f>Data!H$185</f>
        <v>0.636</v>
      </c>
      <c r="J178" s="141">
        <f>Data!I$185</f>
        <v>1.684</v>
      </c>
      <c r="K178" s="105">
        <f>Tracks!H$115</f>
        <v>1.35</v>
      </c>
      <c r="L178" s="105">
        <f>Tracks!I$115</f>
        <v>1.35</v>
      </c>
      <c r="M178" s="105">
        <f>Tracks!J$115</f>
        <v>1.35</v>
      </c>
      <c r="N178" s="105">
        <f>Tracks!K$115</f>
        <v>1.35</v>
      </c>
      <c r="O178" s="105">
        <f>Tracks!L$115</f>
        <v>1.35</v>
      </c>
      <c r="P178" s="105">
        <f>Tracks!M$115</f>
        <v>1.2479166666666666</v>
      </c>
      <c r="Q178" s="105">
        <f>Tracks!N$115</f>
        <v>1.1458333333333335</v>
      </c>
      <c r="R178" s="105">
        <f>Tracks!O$115</f>
        <v>1.04375</v>
      </c>
      <c r="S178" s="105">
        <f>Tracks!P$115</f>
        <v>0.9416666666666667</v>
      </c>
      <c r="T178" s="105">
        <f>Tracks!Q$115</f>
        <v>0.8395833333333333</v>
      </c>
    </row>
    <row r="179" spans="1:20" ht="12.75">
      <c r="A179" s="323"/>
      <c r="B179" s="102"/>
      <c r="C179" s="94"/>
      <c r="D179" s="136"/>
      <c r="E179" s="136"/>
      <c r="F179" s="142"/>
      <c r="G179" s="142"/>
      <c r="H179" s="142"/>
      <c r="I179" s="142"/>
      <c r="J179" s="142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</row>
    <row r="180" spans="1:20" ht="12.75">
      <c r="A180" s="145" t="s">
        <v>464</v>
      </c>
      <c r="B180" s="102"/>
      <c r="C180" s="94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</row>
    <row r="181" spans="1:20" ht="12.75">
      <c r="A181" s="226" t="s">
        <v>765</v>
      </c>
      <c r="B181" s="333"/>
      <c r="C181" s="94"/>
      <c r="D181" s="94">
        <f>Data!C$73</f>
        <v>7.161</v>
      </c>
      <c r="E181" s="94">
        <f>Data!D$73</f>
        <v>8.257</v>
      </c>
      <c r="F181" s="141">
        <f>Data!E$73</f>
        <v>10.557</v>
      </c>
      <c r="G181" s="141">
        <f>Data!F$73</f>
        <v>10.307</v>
      </c>
      <c r="H181" s="141">
        <f>Data!G$73</f>
        <v>10.063</v>
      </c>
      <c r="I181" s="141">
        <f>Data!H$73</f>
        <v>9.85</v>
      </c>
      <c r="J181" s="141">
        <f>Data!I$73</f>
        <v>9.693</v>
      </c>
      <c r="K181" s="135">
        <f>J$181*Tracks!N$18/Tracks!M$18</f>
        <v>9.540984316962442</v>
      </c>
      <c r="L181" s="135">
        <f>K$181*Tracks!O$18/Tracks!N$18</f>
        <v>9.332264723208073</v>
      </c>
      <c r="M181" s="135">
        <f>L$181*Tracks!P$18/Tracks!O$18</f>
        <v>9.09802221185668</v>
      </c>
      <c r="N181" s="135">
        <f>M$181*Tracks!Q$18/Tracks!P$18</f>
        <v>8.87050745217642</v>
      </c>
      <c r="O181" s="135">
        <f>N$181*Tracks!R$18/Tracks!Q$18</f>
        <v>8.64579836024358</v>
      </c>
      <c r="P181" s="135">
        <f>O$181*Tracks!S$18/Tracks!R$18</f>
        <v>8.405198015816927</v>
      </c>
      <c r="Q181" s="135">
        <f>P$181*Tracks!T$18/Tracks!S$18</f>
        <v>8.14760968093131</v>
      </c>
      <c r="R181" s="135">
        <f>Q$181*Tracks!U$18/Tracks!T$18</f>
        <v>7.880286335562198</v>
      </c>
      <c r="S181" s="135">
        <f>R$181*Tracks!V$18/Tracks!U$18</f>
        <v>7.5981080407916295</v>
      </c>
      <c r="T181" s="135">
        <f>S$181*Tracks!W$18/Tracks!V$18</f>
        <v>7.311651553859261</v>
      </c>
    </row>
    <row r="182" spans="1:20" ht="12.75">
      <c r="A182" s="93" t="s">
        <v>766</v>
      </c>
      <c r="B182" s="62"/>
      <c r="C182" s="94"/>
      <c r="D182" s="94">
        <f>SUM(D$175,D$176)</f>
        <v>0.704</v>
      </c>
      <c r="E182" s="94">
        <f aca="true" t="shared" si="88" ref="E182:T182">SUM(E$175,E$176)</f>
        <v>0.562</v>
      </c>
      <c r="F182" s="141">
        <f t="shared" si="88"/>
        <v>0.023</v>
      </c>
      <c r="G182" s="141">
        <f t="shared" si="88"/>
        <v>0.173</v>
      </c>
      <c r="H182" s="141">
        <f t="shared" si="88"/>
        <v>0.197</v>
      </c>
      <c r="I182" s="141">
        <f t="shared" si="88"/>
        <v>-0.069</v>
      </c>
      <c r="J182" s="141">
        <f t="shared" si="88"/>
        <v>0.238</v>
      </c>
      <c r="K182" s="105">
        <f t="shared" si="88"/>
        <v>0</v>
      </c>
      <c r="L182" s="105">
        <f t="shared" si="88"/>
        <v>0</v>
      </c>
      <c r="M182" s="105">
        <f t="shared" si="88"/>
        <v>0</v>
      </c>
      <c r="N182" s="105">
        <f t="shared" si="88"/>
        <v>0</v>
      </c>
      <c r="O182" s="105">
        <f t="shared" si="88"/>
        <v>0</v>
      </c>
      <c r="P182" s="105">
        <f t="shared" si="88"/>
        <v>0</v>
      </c>
      <c r="Q182" s="105">
        <f t="shared" si="88"/>
        <v>0</v>
      </c>
      <c r="R182" s="105">
        <f t="shared" si="88"/>
        <v>0</v>
      </c>
      <c r="S182" s="105">
        <f t="shared" si="88"/>
        <v>0</v>
      </c>
      <c r="T182" s="105">
        <f t="shared" si="88"/>
        <v>0</v>
      </c>
    </row>
    <row r="183" spans="1:20" ht="12.75">
      <c r="A183" s="93" t="s">
        <v>767</v>
      </c>
      <c r="B183" s="333"/>
      <c r="C183" s="94"/>
      <c r="D183" s="94">
        <f>Data!C$115-SUM(D$181,D$182)</f>
        <v>10.673000000000002</v>
      </c>
      <c r="E183" s="94">
        <f>Data!D$115-SUM(E$181,E$182)</f>
        <v>13.213000000000001</v>
      </c>
      <c r="F183" s="141">
        <f>Data!E$115-SUM(F$181,F$182)+IF($I$1="Yes",F$262,0)</f>
        <v>13.496</v>
      </c>
      <c r="G183" s="141">
        <f>Data!F$115-SUM(G$181,G$182)+IF($I$1="Yes",G$262,0)</f>
        <v>13.780999999999999</v>
      </c>
      <c r="H183" s="141">
        <f>Data!G$115-SUM(H$181,H$182)+IF($I$1="Yes",H$262,0)</f>
        <v>13.981</v>
      </c>
      <c r="I183" s="141">
        <f>Data!H$115-SUM(I$181,I$182)+IF($I$1="Yes",I$262,0)</f>
        <v>14.809000000000001</v>
      </c>
      <c r="J183" s="141">
        <f>Data!I$115-SUM(J$181,J$182)+IF($I$1="Yes",J$262,0)</f>
        <v>14.911</v>
      </c>
      <c r="K183" s="105">
        <f>J$183*(1+K$206)</f>
        <v>15.195083556158329</v>
      </c>
      <c r="L183" s="105">
        <f aca="true" t="shared" si="89" ref="L183:T183">K$183*(1+L$206)</f>
        <v>15.498985227281496</v>
      </c>
      <c r="M183" s="105">
        <f t="shared" si="89"/>
        <v>15.808964931827127</v>
      </c>
      <c r="N183" s="105">
        <f t="shared" si="89"/>
        <v>16.12514423046367</v>
      </c>
      <c r="O183" s="105">
        <f t="shared" si="89"/>
        <v>16.447647115072943</v>
      </c>
      <c r="P183" s="105">
        <f t="shared" si="89"/>
        <v>16.776600057374402</v>
      </c>
      <c r="Q183" s="105">
        <f t="shared" si="89"/>
        <v>17.11213205852189</v>
      </c>
      <c r="R183" s="105">
        <f t="shared" si="89"/>
        <v>17.454374699692327</v>
      </c>
      <c r="S183" s="105">
        <f t="shared" si="89"/>
        <v>17.803462193686173</v>
      </c>
      <c r="T183" s="105">
        <f t="shared" si="89"/>
        <v>18.159531437559895</v>
      </c>
    </row>
    <row r="184" spans="1:20" ht="12.75">
      <c r="A184" s="227" t="s">
        <v>801</v>
      </c>
      <c r="B184" s="333"/>
      <c r="C184" s="94"/>
      <c r="D184" s="243">
        <f>D$194-Data!C$114</f>
        <v>0.007000000000005002</v>
      </c>
      <c r="E184" s="243">
        <f>E$194-Data!D$114</f>
        <v>0.16899999999999693</v>
      </c>
      <c r="F184" s="174">
        <f>F$194-Data!E$114-IF($F$1="Yes",F$278,0)-IF($I$1="Yes",F$266,0)-IF($L$1="Yes",F$296,0)</f>
        <v>0.1980000000000004</v>
      </c>
      <c r="G184" s="174">
        <f>G$194-Data!F$114-IF($F$1="Yes",G$278,0)-IF($I$1="Yes",G$266,0)-IF($L$1="Yes",G$296,0)</f>
        <v>0.2010000000000005</v>
      </c>
      <c r="H184" s="174">
        <f>H$194-Data!G$114-IF($F$1="Yes",H$278,0)-IF($I$1="Yes",H$266,0)-IF($L$1="Yes",H$296,0)</f>
        <v>0.19899999999999807</v>
      </c>
      <c r="I184" s="174">
        <f>I$194-Data!H$114-IF($F$1="Yes",I$278,0)-IF($I$1="Yes",I$266,0)-IF($L$1="Yes",I$296,0)</f>
        <v>0.20100000000000762</v>
      </c>
      <c r="J184" s="174">
        <f>J$194-Data!I$114-IF($F$1="Yes",J$278,0)-IF($I$1="Yes",J$266,0)-IF($L$1="Yes",J$296,0)</f>
        <v>0.20000000000000284</v>
      </c>
      <c r="K184" s="106">
        <f aca="true" t="shared" si="90" ref="K184:T184">IF(K$2="Proj Yr1",0,J$184)</f>
        <v>0</v>
      </c>
      <c r="L184" s="106">
        <f t="shared" si="90"/>
        <v>0</v>
      </c>
      <c r="M184" s="106">
        <f>IF(M$2="Proj Yr1",0,L$184)</f>
        <v>0</v>
      </c>
      <c r="N184" s="106">
        <f t="shared" si="90"/>
        <v>0</v>
      </c>
      <c r="O184" s="106">
        <f t="shared" si="90"/>
        <v>0</v>
      </c>
      <c r="P184" s="106">
        <f t="shared" si="90"/>
        <v>0</v>
      </c>
      <c r="Q184" s="106">
        <f t="shared" si="90"/>
        <v>0</v>
      </c>
      <c r="R184" s="106">
        <f t="shared" si="90"/>
        <v>0</v>
      </c>
      <c r="S184" s="106">
        <f t="shared" si="90"/>
        <v>0</v>
      </c>
      <c r="T184" s="106">
        <f t="shared" si="90"/>
        <v>0</v>
      </c>
    </row>
    <row r="185" spans="1:20" ht="12.75">
      <c r="A185" s="46" t="s">
        <v>209</v>
      </c>
      <c r="B185" s="62"/>
      <c r="C185" s="94"/>
      <c r="D185" s="96">
        <f>SUM(D$181:D$183,-D$184)</f>
        <v>18.530999999999995</v>
      </c>
      <c r="E185" s="96">
        <f>SUM(E$181:E$183,-E$184)</f>
        <v>21.863000000000003</v>
      </c>
      <c r="F185" s="175">
        <f>SUM(F$181:F$183,-F$184)</f>
        <v>23.878</v>
      </c>
      <c r="G185" s="175">
        <f aca="true" t="shared" si="91" ref="G185:T185">SUM(G$181:G$183,-G$184)</f>
        <v>24.06</v>
      </c>
      <c r="H185" s="175">
        <f t="shared" si="91"/>
        <v>24.042</v>
      </c>
      <c r="I185" s="175">
        <f t="shared" si="91"/>
        <v>24.388999999999992</v>
      </c>
      <c r="J185" s="175">
        <f t="shared" si="91"/>
        <v>24.641999999999996</v>
      </c>
      <c r="K185" s="100">
        <f t="shared" si="91"/>
        <v>24.73606787312077</v>
      </c>
      <c r="L185" s="100">
        <f t="shared" si="91"/>
        <v>24.83124995048957</v>
      </c>
      <c r="M185" s="100">
        <f t="shared" si="91"/>
        <v>24.906987143683807</v>
      </c>
      <c r="N185" s="100">
        <f t="shared" si="91"/>
        <v>24.995651682640087</v>
      </c>
      <c r="O185" s="100">
        <f t="shared" si="91"/>
        <v>25.09344547531652</v>
      </c>
      <c r="P185" s="100">
        <f t="shared" si="91"/>
        <v>25.18179807319133</v>
      </c>
      <c r="Q185" s="100">
        <f t="shared" si="91"/>
        <v>25.2597417394532</v>
      </c>
      <c r="R185" s="100">
        <f t="shared" si="91"/>
        <v>25.334661035254527</v>
      </c>
      <c r="S185" s="100">
        <f t="shared" si="91"/>
        <v>25.401570234477802</v>
      </c>
      <c r="T185" s="100">
        <f t="shared" si="91"/>
        <v>25.471182991419155</v>
      </c>
    </row>
    <row r="186" spans="1:20" ht="12.75">
      <c r="A186" s="227" t="s">
        <v>773</v>
      </c>
      <c r="B186" s="333"/>
      <c r="C186" s="94"/>
      <c r="D186" s="244">
        <f>SUM(Data!C$177,Data!C$178)</f>
        <v>17.396</v>
      </c>
      <c r="E186" s="244">
        <f>SUM(Data!D$177,Data!D$178)</f>
        <v>20.471</v>
      </c>
      <c r="F186" s="221">
        <f>SUM(Data!E$177,Data!E$178)</f>
        <v>24.049</v>
      </c>
      <c r="G186" s="221">
        <f>SUM(Data!F$177,Data!F$178)</f>
        <v>25.262</v>
      </c>
      <c r="H186" s="221">
        <f>SUM(Data!G$177,Data!G$178)</f>
        <v>26.607</v>
      </c>
      <c r="I186" s="221">
        <f>SUM(Data!H$177,Data!H$178)</f>
        <v>28.162000000000003</v>
      </c>
      <c r="J186" s="221">
        <f>SUM(Data!I$177,Data!I$178)</f>
        <v>29.906000000000002</v>
      </c>
      <c r="K186" s="135">
        <f aca="true" t="shared" si="92" ref="K186:T186">J$186*(1+K$204)</f>
        <v>31.640417573930865</v>
      </c>
      <c r="L186" s="135">
        <f t="shared" si="92"/>
        <v>33.50537573061966</v>
      </c>
      <c r="M186" s="135">
        <f t="shared" si="92"/>
        <v>35.382471542844414</v>
      </c>
      <c r="N186" s="135">
        <f t="shared" si="92"/>
        <v>36.94974398633232</v>
      </c>
      <c r="O186" s="135">
        <f t="shared" si="92"/>
        <v>38.52387821461902</v>
      </c>
      <c r="P186" s="135">
        <f t="shared" si="92"/>
        <v>40.15630641124528</v>
      </c>
      <c r="Q186" s="135">
        <f t="shared" si="92"/>
        <v>41.850585768051616</v>
      </c>
      <c r="R186" s="135">
        <f t="shared" si="92"/>
        <v>43.60086557649265</v>
      </c>
      <c r="S186" s="135">
        <f t="shared" si="92"/>
        <v>45.43253963445668</v>
      </c>
      <c r="T186" s="135">
        <f t="shared" si="92"/>
        <v>47.33507746297569</v>
      </c>
    </row>
    <row r="187" spans="1:20" ht="12.75">
      <c r="A187" s="227" t="s">
        <v>774</v>
      </c>
      <c r="B187" s="333"/>
      <c r="C187" s="94"/>
      <c r="D187" s="243">
        <f>SUM(Data!C$68:C$70,Data!C$72:C$74)-SUM(D$185,D$186)</f>
        <v>5.69700000000001</v>
      </c>
      <c r="E187" s="243">
        <f>SUM(Data!D$68:D$70,Data!D$72:D$74)-SUM(E$185,E$186)</f>
        <v>6.876999999999995</v>
      </c>
      <c r="F187" s="174">
        <f>SUM(Data!E$68:E$70,Data!E$72:E$74)-SUM(F$185,F$186)+IF($I$1="Yes",F$262,0)</f>
        <v>6.3430000000000035</v>
      </c>
      <c r="G187" s="174">
        <f>SUM(Data!F$68:F$70,Data!F$72:F$74)-SUM(G$185,G$186)+IF($I$1="Yes",G$262,0)</f>
        <v>6.537999999999997</v>
      </c>
      <c r="H187" s="174">
        <f>SUM(Data!G$68:G$70,Data!G$72:G$74)-SUM(H$185,H$186)+IF($I$1="Yes",H$262,0)</f>
        <v>6.872</v>
      </c>
      <c r="I187" s="174">
        <f>SUM(Data!H$68:H$70,Data!H$72:H$74)-SUM(I$185,I$186)+IF($I$1="Yes",I$262,0)</f>
        <v>6.96200000000001</v>
      </c>
      <c r="J187" s="174">
        <f>SUM(Data!I$68:I$70,Data!I$72:I$74)-SUM(J$185,J$186)+IF($I$1="Yes",J$262,0)</f>
        <v>7.106999999999992</v>
      </c>
      <c r="K187" s="106">
        <f aca="true" t="shared" si="93" ref="K187:T187">J$187*(1+K$206)</f>
        <v>7.242402175147014</v>
      </c>
      <c r="L187" s="106">
        <f t="shared" si="93"/>
        <v>7.387250218649954</v>
      </c>
      <c r="M187" s="106">
        <f t="shared" si="93"/>
        <v>7.534995223022953</v>
      </c>
      <c r="N187" s="106">
        <f t="shared" si="93"/>
        <v>7.685695127483412</v>
      </c>
      <c r="O187" s="106">
        <f t="shared" si="93"/>
        <v>7.839409030033081</v>
      </c>
      <c r="P187" s="106">
        <f t="shared" si="93"/>
        <v>7.996197210633743</v>
      </c>
      <c r="Q187" s="106">
        <f t="shared" si="93"/>
        <v>8.156121154846417</v>
      </c>
      <c r="R187" s="106">
        <f t="shared" si="93"/>
        <v>8.319243577943345</v>
      </c>
      <c r="S187" s="106">
        <f t="shared" si="93"/>
        <v>8.485628449502212</v>
      </c>
      <c r="T187" s="106">
        <f t="shared" si="93"/>
        <v>8.655341018492257</v>
      </c>
    </row>
    <row r="188" spans="1:20" ht="12.75">
      <c r="A188" s="46" t="s">
        <v>210</v>
      </c>
      <c r="B188" s="62"/>
      <c r="C188" s="94"/>
      <c r="D188" s="96">
        <f>SUM(D$185:D$187)</f>
        <v>41.624</v>
      </c>
      <c r="E188" s="96">
        <f>SUM(E$185:E$187)</f>
        <v>49.211</v>
      </c>
      <c r="F188" s="175">
        <f>SUM(F$185:F$187)</f>
        <v>54.27</v>
      </c>
      <c r="G188" s="175">
        <f aca="true" t="shared" si="94" ref="G188:T188">SUM(G$185:G$187)</f>
        <v>55.86</v>
      </c>
      <c r="H188" s="175">
        <f t="shared" si="94"/>
        <v>57.521</v>
      </c>
      <c r="I188" s="175">
        <f t="shared" si="94"/>
        <v>59.513000000000005</v>
      </c>
      <c r="J188" s="175">
        <f t="shared" si="94"/>
        <v>61.654999999999994</v>
      </c>
      <c r="K188" s="100">
        <f t="shared" si="94"/>
        <v>63.61888762219865</v>
      </c>
      <c r="L188" s="100">
        <f t="shared" si="94"/>
        <v>65.7238758997592</v>
      </c>
      <c r="M188" s="100">
        <f t="shared" si="94"/>
        <v>67.82445390955118</v>
      </c>
      <c r="N188" s="100">
        <f t="shared" si="94"/>
        <v>69.63109079645582</v>
      </c>
      <c r="O188" s="100">
        <f t="shared" si="94"/>
        <v>71.45673271996861</v>
      </c>
      <c r="P188" s="100">
        <f t="shared" si="94"/>
        <v>73.33430169507035</v>
      </c>
      <c r="Q188" s="100">
        <f t="shared" si="94"/>
        <v>75.26644866235124</v>
      </c>
      <c r="R188" s="100">
        <f t="shared" si="94"/>
        <v>77.25477018969052</v>
      </c>
      <c r="S188" s="100">
        <f t="shared" si="94"/>
        <v>79.3197383184367</v>
      </c>
      <c r="T188" s="100">
        <f t="shared" si="94"/>
        <v>81.4616014728871</v>
      </c>
    </row>
    <row r="189" spans="1:20" ht="12.75">
      <c r="A189" s="46"/>
      <c r="B189" s="62"/>
      <c r="C189" s="94"/>
      <c r="D189" s="96"/>
      <c r="E189" s="96"/>
      <c r="F189" s="175"/>
      <c r="G189" s="175"/>
      <c r="H189" s="175"/>
      <c r="I189" s="175"/>
      <c r="J189" s="175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</row>
    <row r="190" spans="1:19" ht="12.75">
      <c r="A190" s="145" t="s">
        <v>775</v>
      </c>
      <c r="B190" s="62"/>
      <c r="C190" s="99"/>
      <c r="D190" s="97"/>
      <c r="E190" s="97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20" ht="12.75">
      <c r="A191" s="46" t="s">
        <v>402</v>
      </c>
      <c r="B191" s="333"/>
      <c r="C191" s="99"/>
      <c r="D191" s="96">
        <f>Data!C$80</f>
        <v>10.735</v>
      </c>
      <c r="E191" s="96">
        <f>Data!D$80</f>
        <v>12.918</v>
      </c>
      <c r="F191" s="175">
        <f>Data!E$80</f>
        <v>17.502</v>
      </c>
      <c r="G191" s="175">
        <f>Data!F$80</f>
        <v>18.347</v>
      </c>
      <c r="H191" s="175">
        <f>Data!G$80</f>
        <v>19.55</v>
      </c>
      <c r="I191" s="175">
        <f>Data!H$80</f>
        <v>20.535</v>
      </c>
      <c r="J191" s="175">
        <f>Data!I$80</f>
        <v>22.372</v>
      </c>
      <c r="K191" s="100">
        <f aca="true" t="shared" si="95" ref="K191:T191">J$191*(1+K$204)</f>
        <v>23.669478431217186</v>
      </c>
      <c r="L191" s="100">
        <f t="shared" si="95"/>
        <v>25.064611310286327</v>
      </c>
      <c r="M191" s="100">
        <f t="shared" si="95"/>
        <v>26.46882409404518</v>
      </c>
      <c r="N191" s="100">
        <f t="shared" si="95"/>
        <v>27.64126504588466</v>
      </c>
      <c r="O191" s="100">
        <f t="shared" si="95"/>
        <v>28.818839143230672</v>
      </c>
      <c r="P191" s="100">
        <f t="shared" si="95"/>
        <v>30.04002163553733</v>
      </c>
      <c r="Q191" s="100">
        <f t="shared" si="95"/>
        <v>31.307473577303906</v>
      </c>
      <c r="R191" s="100">
        <f t="shared" si="95"/>
        <v>32.616818186226624</v>
      </c>
      <c r="S191" s="100">
        <f t="shared" si="95"/>
        <v>33.98705198629254</v>
      </c>
      <c r="T191" s="100">
        <f t="shared" si="95"/>
        <v>35.41029736513382</v>
      </c>
    </row>
    <row r="192" spans="1:20" ht="12.75">
      <c r="A192" s="46" t="s">
        <v>401</v>
      </c>
      <c r="B192" s="333"/>
      <c r="C192" s="99"/>
      <c r="D192" s="96">
        <f>Data!C$79</f>
        <v>31.163</v>
      </c>
      <c r="E192" s="96">
        <f>Data!D$79</f>
        <v>33.192</v>
      </c>
      <c r="F192" s="175">
        <f>Data!E$79+IF($F$1="Yes",F$278,0)+IF($I$1="Yes",F$266,0)+IF($L$1="Yes",F$296,0)</f>
        <v>51.654</v>
      </c>
      <c r="G192" s="175">
        <f>Data!F$79+IF($F$1="Yes",G$278,0)+IF($I$1="Yes",G$266,0)+IF($L$1="Yes",G$296,0)</f>
        <v>58.076</v>
      </c>
      <c r="H192" s="175">
        <f>Data!G$79+IF($F$1="Yes",H$278,0)+IF($I$1="Yes",H$266,0)+IF($L$1="Yes",H$296,0)</f>
        <v>69.106</v>
      </c>
      <c r="I192" s="175">
        <f>Data!H$79+IF($F$1="Yes",I$278,0)+IF($I$1="Yes",I$266,0)+IF($L$1="Yes",I$296,0)</f>
        <v>76.885</v>
      </c>
      <c r="J192" s="175">
        <f>Data!I$79+IF($F$1="Yes",J$278,0)+IF($I$1="Yes",J$266,0)+IF($L$1="Yes",J$296,0)</f>
        <v>84.249</v>
      </c>
      <c r="K192" s="98">
        <f>J$192*K$194/J$194</f>
        <v>93.18620604146057</v>
      </c>
      <c r="L192" s="98">
        <f aca="true" t="shared" si="96" ref="L192:T192">K$192*L$194/K$194</f>
        <v>100.57906579298485</v>
      </c>
      <c r="M192" s="98">
        <f t="shared" si="96"/>
        <v>106.52336482694997</v>
      </c>
      <c r="N192" s="98">
        <f t="shared" si="96"/>
        <v>111.0478042787942</v>
      </c>
      <c r="O192" s="98">
        <f t="shared" si="96"/>
        <v>114.66704758766541</v>
      </c>
      <c r="P192" s="98">
        <f t="shared" si="96"/>
        <v>117.29424370323747</v>
      </c>
      <c r="Q192" s="98">
        <f t="shared" si="96"/>
        <v>118.76999588144982</v>
      </c>
      <c r="R192" s="98">
        <f t="shared" si="96"/>
        <v>120.96857803129971</v>
      </c>
      <c r="S192" s="98">
        <f t="shared" si="96"/>
        <v>121.72170069749917</v>
      </c>
      <c r="T192" s="98">
        <f t="shared" si="96"/>
        <v>120.79754625188832</v>
      </c>
    </row>
    <row r="193" spans="1:20" ht="12.75">
      <c r="A193" s="227" t="s">
        <v>465</v>
      </c>
      <c r="C193" s="99"/>
      <c r="D193" s="243">
        <f>D$194-D$192</f>
        <v>4.729000000000003</v>
      </c>
      <c r="E193" s="243">
        <f>E$194-E$192</f>
        <v>4.143999999999998</v>
      </c>
      <c r="F193" s="174">
        <f>F$194-F$192</f>
        <v>5.674999999999997</v>
      </c>
      <c r="G193" s="174">
        <f aca="true" t="shared" si="97" ref="G193:T193">G$194-G$192</f>
        <v>6.039999999999999</v>
      </c>
      <c r="H193" s="174">
        <f t="shared" si="97"/>
        <v>6.463999999999999</v>
      </c>
      <c r="I193" s="174">
        <f t="shared" si="97"/>
        <v>6.915999999999997</v>
      </c>
      <c r="J193" s="174">
        <f t="shared" si="97"/>
        <v>7.365000000000009</v>
      </c>
      <c r="K193" s="106">
        <f t="shared" si="97"/>
        <v>8.14628550481737</v>
      </c>
      <c r="L193" s="106">
        <f t="shared" si="97"/>
        <v>8.792565129144975</v>
      </c>
      <c r="M193" s="106">
        <f t="shared" si="97"/>
        <v>9.31221239362472</v>
      </c>
      <c r="N193" s="106">
        <f t="shared" si="97"/>
        <v>9.707736335307516</v>
      </c>
      <c r="O193" s="106">
        <f t="shared" si="97"/>
        <v>10.024128541385181</v>
      </c>
      <c r="P193" s="106">
        <f t="shared" si="97"/>
        <v>10.253796542087727</v>
      </c>
      <c r="Q193" s="106">
        <f t="shared" si="97"/>
        <v>10.38280596406939</v>
      </c>
      <c r="R193" s="106">
        <f t="shared" si="97"/>
        <v>10.575004773950141</v>
      </c>
      <c r="S193" s="106">
        <f t="shared" si="97"/>
        <v>10.640842332099893</v>
      </c>
      <c r="T193" s="106">
        <f t="shared" si="97"/>
        <v>10.560053272384948</v>
      </c>
    </row>
    <row r="194" spans="1:20" ht="12.75">
      <c r="A194" s="46" t="s">
        <v>466</v>
      </c>
      <c r="B194" s="333"/>
      <c r="C194" s="99"/>
      <c r="D194" s="96">
        <f>Data!C$82</f>
        <v>35.892</v>
      </c>
      <c r="E194" s="96">
        <f>Data!D$82</f>
        <v>37.336</v>
      </c>
      <c r="F194" s="175">
        <f>Data!E$82+IF($F$1="Yes",F$278,0)+IF($I$1="Yes",F$266,0)+IF($L$1="Yes",F$296,0)</f>
        <v>57.329</v>
      </c>
      <c r="G194" s="175">
        <f>Data!F$82+IF($F$1="Yes",G$278,0)+IF($I$1="Yes",G$266,0)+IF($L$1="Yes",G$296,0)</f>
        <v>64.116</v>
      </c>
      <c r="H194" s="175">
        <f>Data!G$82+IF($F$1="Yes",H$278,0)+IF($I$1="Yes",H$266,0)+IF($L$1="Yes",H$296,0)</f>
        <v>75.57</v>
      </c>
      <c r="I194" s="175">
        <f>Data!H$82+IF($F$1="Yes",I$278,0)+IF($I$1="Yes",I$266,0)+IF($L$1="Yes",I$296,0)</f>
        <v>83.801</v>
      </c>
      <c r="J194" s="175">
        <f>Data!I$82+IF($F$1="Yes",J$278,0)+IF($I$1="Yes",J$266,0)+IF($L$1="Yes",J$296,0)</f>
        <v>91.614</v>
      </c>
      <c r="K194" s="100">
        <f aca="true" t="shared" si="98" ref="K194:T194">J$194+(K$30-J$30)-(K$32-J$32)-K$22</f>
        <v>101.33249154627794</v>
      </c>
      <c r="L194" s="100">
        <f t="shared" si="98"/>
        <v>109.37163092212982</v>
      </c>
      <c r="M194" s="100">
        <f t="shared" si="98"/>
        <v>115.83557722057469</v>
      </c>
      <c r="N194" s="100">
        <f t="shared" si="98"/>
        <v>120.75554061410172</v>
      </c>
      <c r="O194" s="100">
        <f t="shared" si="98"/>
        <v>124.69117612905059</v>
      </c>
      <c r="P194" s="100">
        <f t="shared" si="98"/>
        <v>127.5480402453252</v>
      </c>
      <c r="Q194" s="100">
        <f t="shared" si="98"/>
        <v>129.1528018455192</v>
      </c>
      <c r="R194" s="100">
        <f t="shared" si="98"/>
        <v>131.54358280524986</v>
      </c>
      <c r="S194" s="100">
        <f t="shared" si="98"/>
        <v>132.36254302959907</v>
      </c>
      <c r="T194" s="100">
        <f t="shared" si="98"/>
        <v>131.35759952427327</v>
      </c>
    </row>
    <row r="195" spans="1:20" ht="12.75">
      <c r="A195" s="227" t="s">
        <v>746</v>
      </c>
      <c r="B195" s="333"/>
      <c r="C195" s="99"/>
      <c r="D195" s="243">
        <f>Data!C$83</f>
        <v>0.913</v>
      </c>
      <c r="E195" s="243">
        <f>Data!D$83</f>
        <v>0.409</v>
      </c>
      <c r="F195" s="174">
        <f>Data!E$83</f>
        <v>-0.528</v>
      </c>
      <c r="G195" s="174">
        <f>Data!F$83</f>
        <v>-0.559</v>
      </c>
      <c r="H195" s="174">
        <f>Data!G$83</f>
        <v>-0.559</v>
      </c>
      <c r="I195" s="174">
        <f>Data!H$83</f>
        <v>-0.56</v>
      </c>
      <c r="J195" s="174">
        <f>Data!I$83</f>
        <v>-0.561</v>
      </c>
      <c r="K195" s="106">
        <f aca="true" t="shared" si="99" ref="K195:T195">J$195*K$136/J$136</f>
        <v>-0.5986763875914894</v>
      </c>
      <c r="L195" s="106">
        <f t="shared" si="99"/>
        <v>-0.6388296209032434</v>
      </c>
      <c r="M195" s="106">
        <f t="shared" si="99"/>
        <v>-0.6816225277729119</v>
      </c>
      <c r="N195" s="106">
        <f t="shared" si="99"/>
        <v>-0.7272286403401924</v>
      </c>
      <c r="O195" s="106">
        <f t="shared" si="99"/>
        <v>-0.775832898747646</v>
      </c>
      <c r="P195" s="106">
        <f t="shared" si="99"/>
        <v>-0.8276324011028057</v>
      </c>
      <c r="Q195" s="106">
        <f t="shared" si="99"/>
        <v>-0.8828372027427935</v>
      </c>
      <c r="R195" s="106">
        <f t="shared" si="99"/>
        <v>-1.0281809105411368</v>
      </c>
      <c r="S195" s="106">
        <f t="shared" si="99"/>
        <v>-1.1795755460110178</v>
      </c>
      <c r="T195" s="106">
        <f t="shared" si="99"/>
        <v>-1.3371368672988988</v>
      </c>
    </row>
    <row r="196" spans="1:20" ht="12.75">
      <c r="A196" s="46" t="s">
        <v>467</v>
      </c>
      <c r="C196" s="99"/>
      <c r="D196" s="96">
        <f aca="true" t="shared" si="100" ref="D196:T196">SUM(D$194,D$195)</f>
        <v>36.805</v>
      </c>
      <c r="E196" s="96">
        <f t="shared" si="100"/>
        <v>37.745</v>
      </c>
      <c r="F196" s="175">
        <f t="shared" si="100"/>
        <v>56.801</v>
      </c>
      <c r="G196" s="175">
        <f t="shared" si="100"/>
        <v>63.557</v>
      </c>
      <c r="H196" s="175">
        <f t="shared" si="100"/>
        <v>75.011</v>
      </c>
      <c r="I196" s="175">
        <f t="shared" si="100"/>
        <v>83.241</v>
      </c>
      <c r="J196" s="175">
        <f t="shared" si="100"/>
        <v>91.053</v>
      </c>
      <c r="K196" s="100">
        <f t="shared" si="100"/>
        <v>100.73381515868644</v>
      </c>
      <c r="L196" s="100">
        <f t="shared" si="100"/>
        <v>108.73280130122659</v>
      </c>
      <c r="M196" s="100">
        <f t="shared" si="100"/>
        <v>115.15395469280178</v>
      </c>
      <c r="N196" s="100">
        <f t="shared" si="100"/>
        <v>120.02831197376153</v>
      </c>
      <c r="O196" s="100">
        <f t="shared" si="100"/>
        <v>123.91534323030294</v>
      </c>
      <c r="P196" s="100">
        <f t="shared" si="100"/>
        <v>126.7204078442224</v>
      </c>
      <c r="Q196" s="100">
        <f t="shared" si="100"/>
        <v>128.26996464277642</v>
      </c>
      <c r="R196" s="100">
        <f t="shared" si="100"/>
        <v>130.51540189470873</v>
      </c>
      <c r="S196" s="100">
        <f t="shared" si="100"/>
        <v>131.18296748358804</v>
      </c>
      <c r="T196" s="100">
        <f t="shared" si="100"/>
        <v>130.02046265697436</v>
      </c>
    </row>
    <row r="197" spans="1:20" ht="12.75">
      <c r="A197" s="418" t="s">
        <v>940</v>
      </c>
      <c r="B197" s="333"/>
      <c r="C197" s="99"/>
      <c r="D197" s="94">
        <f>SUM(Data!C$90,-Data!C$91)</f>
        <v>6.1579999999999995</v>
      </c>
      <c r="E197" s="94">
        <f>SUM(Data!D$90,-Data!D$91)</f>
        <v>6.355</v>
      </c>
      <c r="F197" s="141">
        <f>SUM(Data!E$90,-Data!E$91)</f>
        <v>12.584</v>
      </c>
      <c r="G197" s="141">
        <f>SUM(Data!F$90,-Data!F$91)</f>
        <v>12.584</v>
      </c>
      <c r="H197" s="141">
        <f>SUM(Data!G$90,-Data!G$91)</f>
        <v>12.584</v>
      </c>
      <c r="I197" s="141">
        <f>SUM(Data!H$90,-Data!H$91)</f>
        <v>12.584</v>
      </c>
      <c r="J197" s="141">
        <f>SUM(Data!I$90,-Data!I$91)</f>
        <v>12.584</v>
      </c>
      <c r="K197" s="98">
        <f>J$197</f>
        <v>12.584</v>
      </c>
      <c r="L197" s="98">
        <f aca="true" t="shared" si="101" ref="L197:T197">K$197</f>
        <v>12.584</v>
      </c>
      <c r="M197" s="98">
        <f t="shared" si="101"/>
        <v>12.584</v>
      </c>
      <c r="N197" s="98">
        <f t="shared" si="101"/>
        <v>12.584</v>
      </c>
      <c r="O197" s="98">
        <f t="shared" si="101"/>
        <v>12.584</v>
      </c>
      <c r="P197" s="98">
        <f t="shared" si="101"/>
        <v>12.584</v>
      </c>
      <c r="Q197" s="98">
        <f t="shared" si="101"/>
        <v>12.584</v>
      </c>
      <c r="R197" s="98">
        <f t="shared" si="101"/>
        <v>12.584</v>
      </c>
      <c r="S197" s="98">
        <f t="shared" si="101"/>
        <v>12.584</v>
      </c>
      <c r="T197" s="98">
        <f t="shared" si="101"/>
        <v>12.584</v>
      </c>
    </row>
    <row r="198" spans="1:20" ht="12.75">
      <c r="A198" s="145" t="s">
        <v>778</v>
      </c>
      <c r="C198" s="99"/>
      <c r="D198" s="339">
        <v>0</v>
      </c>
      <c r="E198" s="94">
        <f aca="true" t="shared" si="102" ref="E198:J198">D$198</f>
        <v>0</v>
      </c>
      <c r="F198" s="141">
        <f t="shared" si="102"/>
        <v>0</v>
      </c>
      <c r="G198" s="141">
        <f t="shared" si="102"/>
        <v>0</v>
      </c>
      <c r="H198" s="141">
        <f t="shared" si="102"/>
        <v>0</v>
      </c>
      <c r="I198" s="141">
        <f t="shared" si="102"/>
        <v>0</v>
      </c>
      <c r="J198" s="141">
        <f t="shared" si="102"/>
        <v>0</v>
      </c>
      <c r="K198" s="98">
        <f ca="1">IF(OFFSET(Scenarios!$A$41,0,$C$1)="Yes",MAX(MIN(OFFSET(Scenarios!$A$42,0,$C$1)-SUM($H$198:J$198),SUM(K$113,K$115,K$144,K$159,K$163,K$170)-SUM(J$113,J$115,J$144,J$159,J$170)-(K$32-J$32)-K$22+K$139-J$139),0),0)</f>
        <v>0</v>
      </c>
      <c r="L198" s="98">
        <f ca="1">IF(OFFSET(Scenarios!$A$41,0,$C$1)="Yes",MAX(MIN(OFFSET(Scenarios!$A$42,0,$C$1)-SUM($H$198:K$198),SUM(L$113,L$115,L$144,L$159,L$163,L$170)-SUM(K$113,K$115,K$144,K$159,K$170)-(L$32-K$32)-L$22+L$139-K$139),0),0)</f>
        <v>0</v>
      </c>
      <c r="M198" s="98">
        <f ca="1">IF(OFFSET(Scenarios!$A$41,0,$C$1)="Yes",MAX(MIN(OFFSET(Scenarios!$A$42,0,$C$1)-SUM($H$198:L$198),SUM(M$113,M$115,M$144,M$159,M$163,M$170)-SUM(L$113,L$115,L$144,L$159,L$170)-(M$32-L$32)-M$22+M$139-L$139),0),0)</f>
        <v>0</v>
      </c>
      <c r="N198" s="98">
        <f ca="1">IF(OFFSET(Scenarios!$A$41,0,$C$1)="Yes",MAX(MIN(OFFSET(Scenarios!$A$42,0,$C$1)-SUM($H$198:M$198),SUM(N$113,N$115,N$144,N$159,N$163,N$170)-SUM(M$113,M$115,M$144,M$159,M$170)-(N$32-M$32)-N$22+N$139-M$139),0),0)</f>
        <v>0</v>
      </c>
      <c r="O198" s="98">
        <f ca="1">IF(OFFSET(Scenarios!$A$41,0,$C$1)="Yes",MAX(MIN(OFFSET(Scenarios!$A$42,0,$C$1)-SUM($H$198:N$198),SUM(O$113,O$115,O$144,O$159,O$163,O$170)-SUM(N$113,N$115,N$144,N$159,N$170)-(O$32-N$32)-O$22+O$139-N$139),0),0)</f>
        <v>0</v>
      </c>
      <c r="P198" s="98">
        <f ca="1">IF(OFFSET(Scenarios!$A$41,0,$C$1)="Yes",MAX(MIN(OFFSET(Scenarios!$A$42,0,$C$1)-SUM($H$198:O$198),SUM(P$113,P$115,P$144,P$159,P$163,P$170)-SUM(O$113,O$115,O$144,O$159,O$170)-(P$32-O$32)-P$22+P$139-O$139),0),0)</f>
        <v>0</v>
      </c>
      <c r="Q198" s="98">
        <f ca="1">IF(OFFSET(Scenarios!$A$41,0,$C$1)="Yes",MAX(MIN(OFFSET(Scenarios!$A$42,0,$C$1)-SUM($H$198:P$198),SUM(Q$113,Q$115,Q$144,Q$159,Q$163,Q$170)-SUM(P$113,P$115,P$144,P$159,P$170)-(Q$32-P$32)-Q$22+Q$139-P$139),0),0)</f>
        <v>0</v>
      </c>
      <c r="R198" s="98">
        <f ca="1">IF(OFFSET(Scenarios!$A$41,0,$C$1)="Yes",MAX(MIN(OFFSET(Scenarios!$A$42,0,$C$1)-SUM($H$198:Q$198),SUM(R$113,R$115,R$144,R$159,R$163,R$170)-SUM(Q$113,Q$115,Q$144,Q$159,Q$170)-(R$32-Q$32)-R$22+R$139-Q$139),0),0)</f>
        <v>0</v>
      </c>
      <c r="S198" s="98">
        <f ca="1">IF(OFFSET(Scenarios!$A$41,0,$C$1)="Yes",MAX(MIN(OFFSET(Scenarios!$A$42,0,$C$1)-SUM($H$198:R$198),SUM(S$113,S$115,S$144,S$159,S$163,S$170)-SUM(R$113,R$115,R$144,R$159,R$170)-(S$32-R$32)-S$22+S$139-R$139),0),0)</f>
        <v>0</v>
      </c>
      <c r="T198" s="98">
        <f ca="1">IF(OFFSET(Scenarios!$A$41,0,$C$1)="Yes",MAX(MIN(OFFSET(Scenarios!$A$42,0,$C$1)-SUM($H$198:S$198),SUM(T$113,T$115,T$144,T$159,T$163,T$170)-SUM(S$113,S$115,S$144,S$159,S$170)-(T$32-S$32)-T$22+T$139-S$139),0),0)</f>
        <v>0</v>
      </c>
    </row>
    <row r="199" spans="1:20" ht="12.75">
      <c r="A199" s="145"/>
      <c r="C199" s="99"/>
      <c r="D199" s="97"/>
      <c r="E199" s="97"/>
      <c r="F199" s="97"/>
      <c r="G199" s="97"/>
      <c r="H199" s="97"/>
      <c r="I199" s="97"/>
      <c r="J199" s="97"/>
      <c r="K199" s="271"/>
      <c r="L199" s="271"/>
      <c r="M199" s="271"/>
      <c r="N199" s="271"/>
      <c r="O199" s="271"/>
      <c r="P199" s="271"/>
      <c r="Q199" s="271"/>
      <c r="R199" s="271"/>
      <c r="S199" s="271"/>
      <c r="T199" s="271"/>
    </row>
    <row r="200" spans="1:20" ht="15.75">
      <c r="A200" s="218" t="s">
        <v>452</v>
      </c>
      <c r="D200" s="97"/>
      <c r="E200" s="97"/>
      <c r="F200"/>
      <c r="G200"/>
      <c r="H200"/>
      <c r="I200"/>
      <c r="J200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</row>
    <row r="201" spans="1:20" ht="12.75">
      <c r="A201" s="46" t="s">
        <v>165</v>
      </c>
      <c r="B201" s="333"/>
      <c r="D201" s="94">
        <f>Data!C$199</f>
        <v>132.508</v>
      </c>
      <c r="E201" s="94">
        <f>Data!D$199</f>
        <v>135.862</v>
      </c>
      <c r="F201" s="169">
        <f ca="1">IF(OR($F$1="Yes",$O$1="Yes"),OFFSET(ReadyReckoner!$A$26,0,F$247),Data!E$199)</f>
        <v>133.32245208754475</v>
      </c>
      <c r="G201" s="169">
        <f ca="1">IF(OR($F$1="Yes",$O$1="Yes"),OFFSET(ReadyReckoner!$A$26,0,G$247),Data!F$199)</f>
        <v>132.30517142968054</v>
      </c>
      <c r="H201" s="169">
        <f ca="1">IF(OR($F$1="Yes",$O$1="Yes"),OFFSET(ReadyReckoner!$A$26,0,H$247),Data!G$199)</f>
        <v>135.11712506529886</v>
      </c>
      <c r="I201" s="169">
        <f ca="1">IF(OR($F$1="Yes",$O$1="Yes"),OFFSET(ReadyReckoner!$A$26,0,I$247),Data!H$199)</f>
        <v>139.63046796429018</v>
      </c>
      <c r="J201" s="169">
        <f ca="1">IF(OR($F$1="Yes",$O$1="Yes"),OFFSET(ReadyReckoner!$A$26,0,J$247),Data!I$199)</f>
        <v>145.2091180405893</v>
      </c>
      <c r="K201" s="98">
        <f aca="true" t="shared" si="103" ref="K201:T201">J$201*(1+K$218)*(K$210*(1-K$213)*K$216)/(J$210*(1-J$213)*J$216)</f>
        <v>150.758373320927</v>
      </c>
      <c r="L201" s="98">
        <f t="shared" si="103"/>
        <v>156.5141320030776</v>
      </c>
      <c r="M201" s="98">
        <f t="shared" si="103"/>
        <v>162.04180002120364</v>
      </c>
      <c r="N201" s="98">
        <f t="shared" si="103"/>
        <v>165.90143962750707</v>
      </c>
      <c r="O201" s="98">
        <f t="shared" si="103"/>
        <v>169.57762578773074</v>
      </c>
      <c r="P201" s="98">
        <f t="shared" si="103"/>
        <v>173.2974358948062</v>
      </c>
      <c r="Q201" s="98">
        <f t="shared" si="103"/>
        <v>177.06786336236743</v>
      </c>
      <c r="R201" s="98">
        <f t="shared" si="103"/>
        <v>180.85609318676865</v>
      </c>
      <c r="S201" s="98">
        <f t="shared" si="103"/>
        <v>184.75869087528403</v>
      </c>
      <c r="T201" s="98">
        <f t="shared" si="103"/>
        <v>188.72124051902986</v>
      </c>
    </row>
    <row r="202" spans="1:20" ht="12.75">
      <c r="A202" s="228" t="s">
        <v>146</v>
      </c>
      <c r="D202" s="163"/>
      <c r="E202" s="163">
        <f aca="true" t="shared" si="104" ref="E202:T202">E$201/D$201-1</f>
        <v>0.02531167929483491</v>
      </c>
      <c r="F202" s="167">
        <f t="shared" si="104"/>
        <v>-0.018692113412545397</v>
      </c>
      <c r="G202" s="167">
        <f t="shared" si="104"/>
        <v>-0.007630227631848729</v>
      </c>
      <c r="H202" s="167">
        <f t="shared" si="104"/>
        <v>0.02125354289052006</v>
      </c>
      <c r="I202" s="167">
        <f t="shared" si="104"/>
        <v>0.0334031892464417</v>
      </c>
      <c r="J202" s="167">
        <f t="shared" si="104"/>
        <v>0.0399529569558259</v>
      </c>
      <c r="K202" s="164">
        <f t="shared" si="104"/>
        <v>0.0382156117688599</v>
      </c>
      <c r="L202" s="164">
        <f t="shared" si="104"/>
        <v>0.03817869983180322</v>
      </c>
      <c r="M202" s="164">
        <f t="shared" si="104"/>
        <v>0.03531737324535866</v>
      </c>
      <c r="N202" s="164">
        <f t="shared" si="104"/>
        <v>0.023818790002322787</v>
      </c>
      <c r="O202" s="164">
        <f t="shared" si="104"/>
        <v>0.0221588562973154</v>
      </c>
      <c r="P202" s="164">
        <f t="shared" si="104"/>
        <v>0.021935736449876675</v>
      </c>
      <c r="Q202" s="164">
        <f t="shared" si="104"/>
        <v>0.021756972041120815</v>
      </c>
      <c r="R202" s="164">
        <f t="shared" si="104"/>
        <v>0.02139422565148741</v>
      </c>
      <c r="S202" s="164">
        <f t="shared" si="104"/>
        <v>0.021578469487810947</v>
      </c>
      <c r="T202" s="164">
        <f t="shared" si="104"/>
        <v>0.021447162376900808</v>
      </c>
    </row>
    <row r="203" spans="1:20" ht="12.75">
      <c r="A203" s="46" t="s">
        <v>129</v>
      </c>
      <c r="B203" s="333"/>
      <c r="D203" s="94">
        <f>Data!C$200</f>
        <v>169.135</v>
      </c>
      <c r="E203" s="94">
        <f>Data!D$200</f>
        <v>179.227</v>
      </c>
      <c r="F203" s="169">
        <f ca="1">IF(OR($F$1="Yes",$O$1="Yes"),OFFSET(ReadyReckoner!$A$27,0,F$247),Data!E$200)</f>
        <v>178.52340823084847</v>
      </c>
      <c r="G203" s="169">
        <f ca="1">IF(OR($F$1="Yes",$O$1="Yes"),OFFSET(ReadyReckoner!$A$27,0,G$247),Data!F$200)</f>
        <v>175.05111271510674</v>
      </c>
      <c r="H203" s="169">
        <f ca="1">IF(OR($F$1="Yes",$O$1="Yes"),OFFSET(ReadyReckoner!$A$27,0,H$247),Data!G$200)</f>
        <v>182.71683543145713</v>
      </c>
      <c r="I203" s="169">
        <f ca="1">IF(OR($F$1="Yes",$O$1="Yes"),OFFSET(ReadyReckoner!$A$27,0,I$247),Data!H$200)</f>
        <v>191.52822151109365</v>
      </c>
      <c r="J203" s="169">
        <f ca="1">IF(OR($F$1="Yes",$O$1="Yes"),OFFSET(ReadyReckoner!$A$27,0,J$247),Data!I$200)</f>
        <v>202.52444670884748</v>
      </c>
      <c r="K203" s="98">
        <f aca="true" t="shared" si="105" ref="K203:S203">J$203*(K$201/J$201)*(1+K$206)</f>
        <v>214.2699813681951</v>
      </c>
      <c r="L203" s="98">
        <f t="shared" si="105"/>
        <v>226.89954128321384</v>
      </c>
      <c r="M203" s="98">
        <f t="shared" si="105"/>
        <v>239.61129781335205</v>
      </c>
      <c r="N203" s="98">
        <f t="shared" si="105"/>
        <v>250.22491997811537</v>
      </c>
      <c r="O203" s="98">
        <f t="shared" si="105"/>
        <v>260.88501038235603</v>
      </c>
      <c r="P203" s="98">
        <f t="shared" si="105"/>
        <v>271.93986951810325</v>
      </c>
      <c r="Q203" s="98">
        <f t="shared" si="105"/>
        <v>283.41358680919615</v>
      </c>
      <c r="R203" s="98">
        <f t="shared" si="105"/>
        <v>295.2665410588513</v>
      </c>
      <c r="S203" s="98">
        <f t="shared" si="105"/>
        <v>307.67069992797843</v>
      </c>
      <c r="T203" s="98">
        <f>S$203*(T$201/S$201)*(1+T$206)</f>
        <v>320.55475065570744</v>
      </c>
    </row>
    <row r="204" spans="1:20" ht="12.75">
      <c r="A204" s="228" t="s">
        <v>146</v>
      </c>
      <c r="D204" s="163"/>
      <c r="E204" s="163">
        <f aca="true" t="shared" si="106" ref="E204:T204">E$203/D$203-1</f>
        <v>0.05966831229491243</v>
      </c>
      <c r="F204" s="167">
        <f t="shared" si="106"/>
        <v>-0.00392570187054142</v>
      </c>
      <c r="G204" s="167">
        <f t="shared" si="106"/>
        <v>-0.01945008528658443</v>
      </c>
      <c r="H204" s="167">
        <f t="shared" si="106"/>
        <v>0.0437913395547862</v>
      </c>
      <c r="I204" s="167">
        <f t="shared" si="106"/>
        <v>0.04822427040633559</v>
      </c>
      <c r="J204" s="167">
        <f t="shared" si="106"/>
        <v>0.05741308049016114</v>
      </c>
      <c r="K204" s="164">
        <f t="shared" si="106"/>
        <v>0.05799563879926639</v>
      </c>
      <c r="L204" s="164">
        <f t="shared" si="106"/>
        <v>0.05894227382843931</v>
      </c>
      <c r="M204" s="164">
        <f t="shared" si="106"/>
        <v>0.056023720710265845</v>
      </c>
      <c r="N204" s="164">
        <f t="shared" si="106"/>
        <v>0.04429516580236936</v>
      </c>
      <c r="O204" s="164">
        <f t="shared" si="106"/>
        <v>0.04260203342326174</v>
      </c>
      <c r="P204" s="164">
        <f t="shared" si="106"/>
        <v>0.04237445117887417</v>
      </c>
      <c r="Q204" s="164">
        <f t="shared" si="106"/>
        <v>0.04219211148194324</v>
      </c>
      <c r="R204" s="164">
        <f t="shared" si="106"/>
        <v>0.04182211016451731</v>
      </c>
      <c r="S204" s="164">
        <f t="shared" si="106"/>
        <v>0.042010038877567046</v>
      </c>
      <c r="T204" s="164">
        <f t="shared" si="106"/>
        <v>0.041876105624438775</v>
      </c>
    </row>
    <row r="205" spans="1:20" ht="12.75">
      <c r="A205" s="46" t="s">
        <v>130</v>
      </c>
      <c r="B205" s="333"/>
      <c r="D205" s="246">
        <f>Data!C$201</f>
        <v>1020</v>
      </c>
      <c r="E205" s="246">
        <f>Data!D$201</f>
        <v>1061</v>
      </c>
      <c r="F205" s="237">
        <f ca="1">IF(OR($F$1="Yes",$O$1="Yes"),OFFSET(ReadyReckoner!$A$28,0,F$247),Data!E$201)</f>
        <v>1080.9</v>
      </c>
      <c r="G205" s="237">
        <f ca="1">IF(OR($F$1="Yes",$O$1="Yes"),OFFSET(ReadyReckoner!$A$28,0,G$247),Data!F$201)</f>
        <v>1108.1460000000002</v>
      </c>
      <c r="H205" s="237">
        <f ca="1">IF(OR($F$1="Yes",$O$1="Yes"),OFFSET(ReadyReckoner!$A$28,0,H$247),Data!G$201)</f>
        <v>1122.571</v>
      </c>
      <c r="I205" s="237">
        <f ca="1">IF(OR($F$1="Yes",$O$1="Yes"),OFFSET(ReadyReckoner!$A$28,0,I$247),Data!H$201)</f>
        <v>1136.234</v>
      </c>
      <c r="J205" s="237">
        <f ca="1">IF(OR($F$1="Yes",$O$1="Yes"),OFFSET(ReadyReckoner!$A$28,0,J$247),Data!I$201)</f>
        <v>1155.6090000000002</v>
      </c>
      <c r="K205" s="238">
        <f>J$205*(1+K$206)</f>
        <v>1177.625599439915</v>
      </c>
      <c r="L205" s="238">
        <f aca="true" t="shared" si="107" ref="L205:T205">K$205*(1+L$206)</f>
        <v>1201.1781114287135</v>
      </c>
      <c r="M205" s="238">
        <f t="shared" si="107"/>
        <v>1225.2016736572878</v>
      </c>
      <c r="N205" s="238">
        <f t="shared" si="107"/>
        <v>1249.7057071304334</v>
      </c>
      <c r="O205" s="238">
        <f t="shared" si="107"/>
        <v>1274.699821273042</v>
      </c>
      <c r="P205" s="238">
        <f t="shared" si="107"/>
        <v>1300.193817698503</v>
      </c>
      <c r="Q205" s="238">
        <f t="shared" si="107"/>
        <v>1326.197694052473</v>
      </c>
      <c r="R205" s="238">
        <f t="shared" si="107"/>
        <v>1352.7216479335225</v>
      </c>
      <c r="S205" s="238">
        <f t="shared" si="107"/>
        <v>1379.776080892193</v>
      </c>
      <c r="T205" s="238">
        <f t="shared" si="107"/>
        <v>1407.3716025100368</v>
      </c>
    </row>
    <row r="206" spans="1:20" ht="12.75">
      <c r="A206" s="228" t="s">
        <v>146</v>
      </c>
      <c r="D206" s="163"/>
      <c r="E206" s="163">
        <f aca="true" t="shared" si="108" ref="E206:J206">E$205/D$205-1</f>
        <v>0.04019607843137263</v>
      </c>
      <c r="F206" s="167">
        <f t="shared" si="108"/>
        <v>0.018755890669180042</v>
      </c>
      <c r="G206" s="167">
        <f t="shared" si="108"/>
        <v>0.025206772134332533</v>
      </c>
      <c r="H206" s="167">
        <f t="shared" si="108"/>
        <v>0.01301723780079489</v>
      </c>
      <c r="I206" s="167">
        <f t="shared" si="108"/>
        <v>0.012171167792504933</v>
      </c>
      <c r="J206" s="167">
        <f t="shared" si="108"/>
        <v>0.017051945285918357</v>
      </c>
      <c r="K206" s="164">
        <f ca="1">IF(J$206&lt;OFFSET(Scenarios!$A$7,0,$C$1),MIN(J$206+OFFSET(Scenarios!$A$14,0,$C$1),OFFSET(Scenarios!$A$7,0,$C$1)),MAX(J$206-OFFSET(Scenarios!$A$14,0,$C$1),OFFSET(Scenarios!$A$7,0,$C$1)))</f>
        <v>0.01905194528591836</v>
      </c>
      <c r="L206" s="164">
        <f ca="1">IF(K$206&lt;OFFSET(Scenarios!$A$7,0,$C$1),MIN(K$206+OFFSET(Scenarios!$A$14,0,$C$1),OFFSET(Scenarios!$A$7,0,$C$1)),MAX(K$206-OFFSET(Scenarios!$A$14,0,$C$1),OFFSET(Scenarios!$A$7,0,$C$1)))</f>
        <v>0.02</v>
      </c>
      <c r="M206" s="164">
        <f ca="1">IF(L$206&lt;OFFSET(Scenarios!$A$7,0,$C$1),MIN(L$206+OFFSET(Scenarios!$A$14,0,$C$1),OFFSET(Scenarios!$A$7,0,$C$1)),MAX(L$206-OFFSET(Scenarios!$A$14,0,$C$1),OFFSET(Scenarios!$A$7,0,$C$1)))</f>
        <v>0.02</v>
      </c>
      <c r="N206" s="164">
        <f ca="1">IF(M$206&lt;OFFSET(Scenarios!$A$7,0,$C$1),MIN(M$206+OFFSET(Scenarios!$A$14,0,$C$1),OFFSET(Scenarios!$A$7,0,$C$1)),MAX(M$206-OFFSET(Scenarios!$A$14,0,$C$1),OFFSET(Scenarios!$A$7,0,$C$1)))</f>
        <v>0.02</v>
      </c>
      <c r="O206" s="164">
        <f ca="1">IF(N$206&lt;OFFSET(Scenarios!$A$7,0,$C$1),MIN(N$206+OFFSET(Scenarios!$A$14,0,$C$1),OFFSET(Scenarios!$A$7,0,$C$1)),MAX(N$206-OFFSET(Scenarios!$A$14,0,$C$1),OFFSET(Scenarios!$A$7,0,$C$1)))</f>
        <v>0.02</v>
      </c>
      <c r="P206" s="164">
        <f ca="1">IF(O$206&lt;OFFSET(Scenarios!$A$7,0,$C$1),MIN(O$206+OFFSET(Scenarios!$A$14,0,$C$1),OFFSET(Scenarios!$A$7,0,$C$1)),MAX(O$206-OFFSET(Scenarios!$A$14,0,$C$1),OFFSET(Scenarios!$A$7,0,$C$1)))</f>
        <v>0.02</v>
      </c>
      <c r="Q206" s="164">
        <f ca="1">IF(P$206&lt;OFFSET(Scenarios!$A$7,0,$C$1),MIN(P$206+OFFSET(Scenarios!$A$14,0,$C$1),OFFSET(Scenarios!$A$7,0,$C$1)),MAX(P$206-OFFSET(Scenarios!$A$14,0,$C$1),OFFSET(Scenarios!$A$7,0,$C$1)))</f>
        <v>0.02</v>
      </c>
      <c r="R206" s="164">
        <f ca="1">IF(Q$206&lt;OFFSET(Scenarios!$A$7,0,$C$1),MIN(Q$206+OFFSET(Scenarios!$A$14,0,$C$1),OFFSET(Scenarios!$A$7,0,$C$1)),MAX(Q$206-OFFSET(Scenarios!$A$14,0,$C$1),OFFSET(Scenarios!$A$7,0,$C$1)))</f>
        <v>0.02</v>
      </c>
      <c r="S206" s="164">
        <f ca="1">IF(R$206&lt;OFFSET(Scenarios!$A$7,0,$C$1),MIN(R$206+OFFSET(Scenarios!$A$14,0,$C$1),OFFSET(Scenarios!$A$7,0,$C$1)),MAX(R$206-OFFSET(Scenarios!$A$14,0,$C$1),OFFSET(Scenarios!$A$7,0,$C$1)))</f>
        <v>0.02</v>
      </c>
      <c r="T206" s="164">
        <f ca="1">IF(S$206&lt;OFFSET(Scenarios!$A$7,0,$C$1),MIN(S$206+OFFSET(Scenarios!$A$14,0,$C$1),OFFSET(Scenarios!$A$7,0,$C$1)),MAX(S$206-OFFSET(Scenarios!$A$14,0,$C$1),OFFSET(Scenarios!$A$7,0,$C$1)))</f>
        <v>0.02</v>
      </c>
    </row>
    <row r="207" spans="1:20" ht="12.75">
      <c r="A207" s="46" t="s">
        <v>836</v>
      </c>
      <c r="B207" s="333"/>
      <c r="D207" s="163">
        <f>Data!C$208</f>
        <v>0.0641</v>
      </c>
      <c r="E207" s="163">
        <f>Data!D$208</f>
        <v>0.0687</v>
      </c>
      <c r="F207" s="167">
        <f ca="1">IF(OR($F$1="Yes",$O$1="Yes"),OFFSET(ReadyReckoner!$A$35,0,F$247),Data!E$208)</f>
        <v>0.0492</v>
      </c>
      <c r="G207" s="167">
        <f ca="1">IF(OR($F$1="Yes",$O$1="Yes"),OFFSET(ReadyReckoner!$A$35,0,G$247),Data!F$208)</f>
        <v>0.0443</v>
      </c>
      <c r="H207" s="167">
        <f ca="1">IF(OR($F$1="Yes",$O$1="Yes"),OFFSET(ReadyReckoner!$A$35,0,H$247),Data!G$208)</f>
        <v>0.0466</v>
      </c>
      <c r="I207" s="167">
        <f ca="1">IF(OR($F$1="Yes",$O$1="Yes"),OFFSET(ReadyReckoner!$A$35,0,I$247),Data!H$208)</f>
        <v>0.0515</v>
      </c>
      <c r="J207" s="167">
        <f ca="1">IF(OR($F$1="Yes",$O$1="Yes"),OFFSET(ReadyReckoner!$A$35,0,J$247),Data!I$208)</f>
        <v>0.0562</v>
      </c>
      <c r="K207" s="164">
        <f ca="1">IF(J$207&lt;OFFSET(Scenarios!$A$8,0,$C$1),MIN(J$207+OFFSET(Scenarios!$A$15,0,$C$1),OFFSET(Scenarios!$A$8,0,$C$1)),MAX(J$207-OFFSET(Scenarios!$A$15,0,$C$1),OFFSET(Scenarios!$A$8,0,$C$1)))</f>
        <v>0.0572</v>
      </c>
      <c r="L207" s="164">
        <f ca="1">IF(K$207&lt;OFFSET(Scenarios!$A$8,0,$C$1),MIN(K$207+OFFSET(Scenarios!$A$15,0,$C$1),OFFSET(Scenarios!$A$8,0,$C$1)),MAX(K$207-OFFSET(Scenarios!$A$15,0,$C$1),OFFSET(Scenarios!$A$8,0,$C$1)))</f>
        <v>0.0582</v>
      </c>
      <c r="M207" s="164">
        <f ca="1">IF(L$207&lt;OFFSET(Scenarios!$A$8,0,$C$1),MIN(L$207+OFFSET(Scenarios!$A$15,0,$C$1),OFFSET(Scenarios!$A$8,0,$C$1)),MAX(L$207-OFFSET(Scenarios!$A$15,0,$C$1),OFFSET(Scenarios!$A$8,0,$C$1)))</f>
        <v>0.0592</v>
      </c>
      <c r="N207" s="164">
        <f ca="1">IF(M$207&lt;OFFSET(Scenarios!$A$8,0,$C$1),MIN(M$207+OFFSET(Scenarios!$A$15,0,$C$1),OFFSET(Scenarios!$A$8,0,$C$1)),MAX(M$207-OFFSET(Scenarios!$A$15,0,$C$1),OFFSET(Scenarios!$A$8,0,$C$1)))</f>
        <v>0.06</v>
      </c>
      <c r="O207" s="164">
        <f ca="1">IF(N$207&lt;OFFSET(Scenarios!$A$8,0,$C$1),MIN(N$207+OFFSET(Scenarios!$A$15,0,$C$1),OFFSET(Scenarios!$A$8,0,$C$1)),MAX(N$207-OFFSET(Scenarios!$A$15,0,$C$1),OFFSET(Scenarios!$A$8,0,$C$1)))</f>
        <v>0.06</v>
      </c>
      <c r="P207" s="164">
        <f ca="1">IF(O$207&lt;OFFSET(Scenarios!$A$8,0,$C$1),MIN(O$207+OFFSET(Scenarios!$A$15,0,$C$1),OFFSET(Scenarios!$A$8,0,$C$1)),MAX(O$207-OFFSET(Scenarios!$A$15,0,$C$1),OFFSET(Scenarios!$A$8,0,$C$1)))</f>
        <v>0.06</v>
      </c>
      <c r="Q207" s="164">
        <f ca="1">IF(P$207&lt;OFFSET(Scenarios!$A$8,0,$C$1),MIN(P$207+OFFSET(Scenarios!$A$15,0,$C$1),OFFSET(Scenarios!$A$8,0,$C$1)),MAX(P$207-OFFSET(Scenarios!$A$15,0,$C$1),OFFSET(Scenarios!$A$8,0,$C$1)))</f>
        <v>0.06</v>
      </c>
      <c r="R207" s="164">
        <f ca="1">IF(Q$207&lt;OFFSET(Scenarios!$A$8,0,$C$1),MIN(Q$207+OFFSET(Scenarios!$A$15,0,$C$1),OFFSET(Scenarios!$A$8,0,$C$1)),MAX(Q$207-OFFSET(Scenarios!$A$15,0,$C$1),OFFSET(Scenarios!$A$8,0,$C$1)))</f>
        <v>0.06</v>
      </c>
      <c r="S207" s="164">
        <f ca="1">IF(R$207&lt;OFFSET(Scenarios!$A$8,0,$C$1),MIN(R$207+OFFSET(Scenarios!$A$15,0,$C$1),OFFSET(Scenarios!$A$8,0,$C$1)),MAX(R$207-OFFSET(Scenarios!$A$15,0,$C$1),OFFSET(Scenarios!$A$8,0,$C$1)))</f>
        <v>0.06</v>
      </c>
      <c r="T207" s="164">
        <f ca="1">IF(S$207&lt;OFFSET(Scenarios!$A$8,0,$C$1),MIN(S$207+OFFSET(Scenarios!$A$15,0,$C$1),OFFSET(Scenarios!$A$8,0,$C$1)),MAX(S$207-OFFSET(Scenarios!$A$15,0,$C$1),OFFSET(Scenarios!$A$8,0,$C$1)))</f>
        <v>0.06</v>
      </c>
    </row>
    <row r="208" spans="1:20" ht="12.75">
      <c r="A208" s="46" t="s">
        <v>221</v>
      </c>
      <c r="D208" s="94">
        <f>SUM(Popn!D$24:D$99,Popn!D$118:D$193)/1000000</f>
        <v>3.33985</v>
      </c>
      <c r="E208" s="94">
        <f>SUM(Popn!E$24:E$99,Popn!E$118:E$193)/1000000</f>
        <v>3.3793</v>
      </c>
      <c r="F208" s="169">
        <f>SUM(Popn!F$24:F$99,Popn!F$118:F$193)/1000000</f>
        <v>3.42002</v>
      </c>
      <c r="G208" s="169">
        <f>SUM(Popn!G$24:G$99,Popn!G$118:G$193)/1000000</f>
        <v>3.46468</v>
      </c>
      <c r="H208" s="169">
        <f>SUM(Popn!H$24:H$99,Popn!H$118:H$193)/1000000</f>
        <v>3.50376</v>
      </c>
      <c r="I208" s="169">
        <f>SUM(Popn!I$24:I$99,Popn!I$118:I$193)/1000000</f>
        <v>3.54101</v>
      </c>
      <c r="J208" s="169">
        <f>SUM(Popn!J$24:J$99,Popn!J$118:J$193)/1000000</f>
        <v>3.57796</v>
      </c>
      <c r="K208" s="98">
        <f>SUM(Popn!K$24:K$99,Popn!K$118:K$193)/1000000</f>
        <v>3.61369</v>
      </c>
      <c r="L208" s="98">
        <f>SUM(Popn!L$24:L$99,Popn!L$118:L$193)/1000000</f>
        <v>3.651</v>
      </c>
      <c r="M208" s="98">
        <f>SUM(Popn!M$24:M$99,Popn!M$118:M$193)/1000000</f>
        <v>3.68684</v>
      </c>
      <c r="N208" s="98">
        <f>SUM(Popn!N$24:N$99,Popn!N$118:N$193)/1000000</f>
        <v>3.72013</v>
      </c>
      <c r="O208" s="98">
        <f>SUM(Popn!O$24:O$99,Popn!O$118:O$193)/1000000</f>
        <v>3.75366</v>
      </c>
      <c r="P208" s="98">
        <f>SUM(Popn!P$24:P$99,Popn!P$118:P$193)/1000000</f>
        <v>3.78835</v>
      </c>
      <c r="Q208" s="98">
        <f>SUM(Popn!Q$24:Q$99,Popn!Q$118:Q$193)/1000000</f>
        <v>3.82239</v>
      </c>
      <c r="R208" s="98">
        <f>SUM(Popn!R$24:R$99,Popn!R$118:R$193)/1000000</f>
        <v>3.85739</v>
      </c>
      <c r="S208" s="98">
        <f>SUM(Popn!S$24:S$99,Popn!S$118:S$193)/1000000</f>
        <v>3.89493</v>
      </c>
      <c r="T208" s="98">
        <f>SUM(Popn!T$24:T$99,Popn!T$118:T$193)/1000000</f>
        <v>3.93425</v>
      </c>
    </row>
    <row r="209" spans="1:20" ht="12.75">
      <c r="A209" s="228" t="s">
        <v>146</v>
      </c>
      <c r="D209" s="163"/>
      <c r="E209" s="163">
        <f aca="true" t="shared" si="109" ref="E209:T209">E$208/D$208-1</f>
        <v>0.011811907720406634</v>
      </c>
      <c r="F209" s="167">
        <f t="shared" si="109"/>
        <v>0.012049832805610672</v>
      </c>
      <c r="G209" s="167">
        <f t="shared" si="109"/>
        <v>0.013058403167232946</v>
      </c>
      <c r="H209" s="167">
        <f t="shared" si="109"/>
        <v>0.011279540967708446</v>
      </c>
      <c r="I209" s="167">
        <f t="shared" si="109"/>
        <v>0.010631435943101009</v>
      </c>
      <c r="J209" s="167">
        <f t="shared" si="109"/>
        <v>0.010434875925230402</v>
      </c>
      <c r="K209" s="164">
        <f t="shared" si="109"/>
        <v>0.009986137352010704</v>
      </c>
      <c r="L209" s="164">
        <f t="shared" si="109"/>
        <v>0.010324626628183342</v>
      </c>
      <c r="M209" s="164">
        <f t="shared" si="109"/>
        <v>0.009816488633251241</v>
      </c>
      <c r="N209" s="164">
        <f t="shared" si="109"/>
        <v>0.009029412722005858</v>
      </c>
      <c r="O209" s="164">
        <f t="shared" si="109"/>
        <v>0.009013125885385609</v>
      </c>
      <c r="P209" s="164">
        <f t="shared" si="109"/>
        <v>0.009241646819371008</v>
      </c>
      <c r="Q209" s="164">
        <f t="shared" si="109"/>
        <v>0.008985442210988959</v>
      </c>
      <c r="R209" s="164">
        <f t="shared" si="109"/>
        <v>0.009156574813140583</v>
      </c>
      <c r="S209" s="164">
        <f t="shared" si="109"/>
        <v>0.009731969025688292</v>
      </c>
      <c r="T209" s="164">
        <f t="shared" si="109"/>
        <v>0.010095175009563695</v>
      </c>
    </row>
    <row r="210" spans="1:20" ht="12.75">
      <c r="A210" s="46" t="s">
        <v>222</v>
      </c>
      <c r="B210" s="333"/>
      <c r="D210" s="94">
        <f>Data!C$202</f>
        <v>2.2168</v>
      </c>
      <c r="E210" s="94">
        <f>Data!D$202</f>
        <v>2.2395</v>
      </c>
      <c r="F210" s="169">
        <f ca="1">IF(OR($F$1="Yes",$O$1="Yes"),OFFSET(ReadyReckoner!$A$29,0,F$247),Data!E$202)</f>
        <v>2.2745</v>
      </c>
      <c r="G210" s="169">
        <f ca="1">IF(OR($F$1="Yes",$O$1="Yes"),OFFSET(ReadyReckoner!$A$29,0,G$247),Data!F$202)</f>
        <v>2.2423</v>
      </c>
      <c r="H210" s="169">
        <f ca="1">IF(OR($F$1="Yes",$O$1="Yes"),OFFSET(ReadyReckoner!$A$29,0,H$247),Data!G$202)</f>
        <v>2.2263</v>
      </c>
      <c r="I210" s="169">
        <f ca="1">IF(OR($F$1="Yes",$O$1="Yes"),OFFSET(ReadyReckoner!$A$29,0,I$247),Data!H$202)</f>
        <v>2.2476</v>
      </c>
      <c r="J210" s="169">
        <f ca="1">IF(OR($F$1="Yes",$O$1="Yes"),OFFSET(ReadyReckoner!$A$29,0,J$247),Data!I$202)</f>
        <v>2.296</v>
      </c>
      <c r="K210" s="98">
        <f>Popn!K$259</f>
        <v>2.3423376062957533</v>
      </c>
      <c r="L210" s="98">
        <f>Popn!L$259</f>
        <v>2.3900575407283546</v>
      </c>
      <c r="M210" s="98">
        <f>Popn!M$259</f>
        <v>2.437899600957776</v>
      </c>
      <c r="N210" s="98">
        <f>Popn!N$259</f>
        <v>2.4590812015760943</v>
      </c>
      <c r="O210" s="98">
        <f>Popn!O$259</f>
        <v>2.4764252497982744</v>
      </c>
      <c r="P210" s="98">
        <f>Popn!P$259</f>
        <v>2.493347252626275</v>
      </c>
      <c r="Q210" s="98">
        <f>Popn!Q$259</f>
        <v>2.509945752798494</v>
      </c>
      <c r="R210" s="98">
        <f>Popn!R$259</f>
        <v>2.5257577326175933</v>
      </c>
      <c r="S210" s="98">
        <f>Popn!S$259</f>
        <v>2.542127801758113</v>
      </c>
      <c r="T210" s="98">
        <f>Popn!T$259</f>
        <v>2.55827510296084</v>
      </c>
    </row>
    <row r="211" spans="1:20" ht="12.75">
      <c r="A211" s="228" t="s">
        <v>146</v>
      </c>
      <c r="D211" s="163"/>
      <c r="E211" s="163">
        <f aca="true" t="shared" si="110" ref="E211:T211">E$210/D$210-1</f>
        <v>0.01023998556477812</v>
      </c>
      <c r="F211" s="167">
        <f t="shared" si="110"/>
        <v>0.015628488501897797</v>
      </c>
      <c r="G211" s="167">
        <f t="shared" si="110"/>
        <v>-0.014156957573092988</v>
      </c>
      <c r="H211" s="167">
        <f t="shared" si="110"/>
        <v>-0.0071355304820942544</v>
      </c>
      <c r="I211" s="167">
        <f t="shared" si="110"/>
        <v>0.009567443740735593</v>
      </c>
      <c r="J211" s="167">
        <f t="shared" si="110"/>
        <v>0.021534080797294797</v>
      </c>
      <c r="K211" s="164">
        <f t="shared" si="110"/>
        <v>0.020181884275153994</v>
      </c>
      <c r="L211" s="164">
        <f t="shared" si="110"/>
        <v>0.02037278243082441</v>
      </c>
      <c r="M211" s="164">
        <f t="shared" si="110"/>
        <v>0.02001711649789062</v>
      </c>
      <c r="N211" s="164">
        <f t="shared" si="110"/>
        <v>0.008688463056475637</v>
      </c>
      <c r="O211" s="164">
        <f t="shared" si="110"/>
        <v>0.0070530603914436</v>
      </c>
      <c r="P211" s="164">
        <f t="shared" si="110"/>
        <v>0.006833237881651799</v>
      </c>
      <c r="Q211" s="164">
        <f t="shared" si="110"/>
        <v>0.006657115311449413</v>
      </c>
      <c r="R211" s="164">
        <f t="shared" si="110"/>
        <v>0.006299729705898871</v>
      </c>
      <c r="S211" s="164">
        <f t="shared" si="110"/>
        <v>0.006481250726907417</v>
      </c>
      <c r="T211" s="164">
        <f t="shared" si="110"/>
        <v>0.006351884115172846</v>
      </c>
    </row>
    <row r="212" spans="1:20" ht="12.75">
      <c r="A212" s="46" t="s">
        <v>148</v>
      </c>
      <c r="D212" s="163">
        <f aca="true" t="shared" si="111" ref="D212:T212">D$210/D$208</f>
        <v>0.6637423836399838</v>
      </c>
      <c r="E212" s="163">
        <f t="shared" si="111"/>
        <v>0.6627112123812624</v>
      </c>
      <c r="F212" s="167">
        <f t="shared" si="111"/>
        <v>0.6650545903240332</v>
      </c>
      <c r="G212" s="167">
        <f t="shared" si="111"/>
        <v>0.6471881963125022</v>
      </c>
      <c r="H212" s="167">
        <f t="shared" si="111"/>
        <v>0.6354031098020413</v>
      </c>
      <c r="I212" s="167">
        <f t="shared" si="111"/>
        <v>0.6347341577685462</v>
      </c>
      <c r="J212" s="167">
        <f t="shared" si="111"/>
        <v>0.6417064472492705</v>
      </c>
      <c r="K212" s="164">
        <f t="shared" si="111"/>
        <v>0.6481844337216953</v>
      </c>
      <c r="L212" s="164">
        <f t="shared" si="111"/>
        <v>0.654630934190182</v>
      </c>
      <c r="M212" s="164">
        <f t="shared" si="111"/>
        <v>0.6612436669228325</v>
      </c>
      <c r="N212" s="164">
        <f t="shared" si="111"/>
        <v>0.6610202335875612</v>
      </c>
      <c r="O212" s="164">
        <f t="shared" si="111"/>
        <v>0.6597361641166952</v>
      </c>
      <c r="P212" s="164">
        <f t="shared" si="111"/>
        <v>0.6581617993654956</v>
      </c>
      <c r="Q212" s="164">
        <f t="shared" si="111"/>
        <v>0.6566430303549595</v>
      </c>
      <c r="R212" s="164">
        <f t="shared" si="111"/>
        <v>0.6547841241403107</v>
      </c>
      <c r="S212" s="164">
        <f t="shared" si="111"/>
        <v>0.6526761204330022</v>
      </c>
      <c r="T212" s="164">
        <f t="shared" si="111"/>
        <v>0.6502573814477575</v>
      </c>
    </row>
    <row r="213" spans="1:20" ht="12.75">
      <c r="A213" s="46" t="s">
        <v>132</v>
      </c>
      <c r="B213" s="333"/>
      <c r="D213" s="163">
        <f>Data!C$203</f>
        <v>0.0373</v>
      </c>
      <c r="E213" s="163">
        <f>Data!D$203</f>
        <v>0.0363</v>
      </c>
      <c r="F213" s="167">
        <f ca="1">IF(OR($F$1="Yes",$O$1="Yes"),OFFSET(ReadyReckoner!$A$30,0,F$247),Data!E$203)</f>
        <v>0.0485</v>
      </c>
      <c r="G213" s="167">
        <f ca="1">IF(OR($F$1="Yes",$O$1="Yes"),OFFSET(ReadyReckoner!$A$30,0,G$247),Data!F$203)</f>
        <v>0.0715</v>
      </c>
      <c r="H213" s="167">
        <f ca="1">IF(OR($F$1="Yes",$O$1="Yes"),OFFSET(ReadyReckoner!$A$30,0,H$247),Data!G$203)</f>
        <v>0.0765</v>
      </c>
      <c r="I213" s="167">
        <f ca="1">IF(OR($F$1="Yes",$O$1="Yes"),OFFSET(ReadyReckoner!$A$30,0,I$247),Data!H$203)</f>
        <v>0.0647</v>
      </c>
      <c r="J213" s="167">
        <f ca="1">IF(OR($F$1="Yes",$O$1="Yes"),OFFSET(ReadyReckoner!$A$30,0,J$247),Data!I$203)</f>
        <v>0.0523</v>
      </c>
      <c r="K213" s="164">
        <f ca="1">IF(J$213&lt;OFFSET(Scenarios!$A$9,0,$C$1),MIN(J$213+OFFSET(Scenarios!$A$16,0,$C$1),OFFSET(Scenarios!$A$9,0,$C$1)),MAX(J$213-OFFSET(Scenarios!$A$16,0,$C$1),OFFSET(Scenarios!$A$9,0,$C$1)))</f>
        <v>0.0473</v>
      </c>
      <c r="L213" s="164">
        <f ca="1">IF(K$213&lt;OFFSET(Scenarios!$A$9,0,$C$1),MIN(K$213+OFFSET(Scenarios!$A$16,0,$C$1),OFFSET(Scenarios!$A$9,0,$C$1)),MAX(K$213-OFFSET(Scenarios!$A$16,0,$C$1),OFFSET(Scenarios!$A$9,0,$C$1)))</f>
        <v>0.045</v>
      </c>
      <c r="M213" s="164">
        <f ca="1">IF(L$213&lt;OFFSET(Scenarios!$A$9,0,$C$1),MIN(L$213+OFFSET(Scenarios!$A$16,0,$C$1),OFFSET(Scenarios!$A$9,0,$C$1)),MAX(L$213-OFFSET(Scenarios!$A$16,0,$C$1),OFFSET(Scenarios!$A$9,0,$C$1)))</f>
        <v>0.045</v>
      </c>
      <c r="N213" s="164">
        <f ca="1">IF(M$213&lt;OFFSET(Scenarios!$A$9,0,$C$1),MIN(M$213+OFFSET(Scenarios!$A$16,0,$C$1),OFFSET(Scenarios!$A$9,0,$C$1)),MAX(M$213-OFFSET(Scenarios!$A$16,0,$C$1),OFFSET(Scenarios!$A$9,0,$C$1)))</f>
        <v>0.045</v>
      </c>
      <c r="O213" s="164">
        <f ca="1">IF(N$213&lt;OFFSET(Scenarios!$A$9,0,$C$1),MIN(N$213+OFFSET(Scenarios!$A$16,0,$C$1),OFFSET(Scenarios!$A$9,0,$C$1)),MAX(N$213-OFFSET(Scenarios!$A$16,0,$C$1),OFFSET(Scenarios!$A$9,0,$C$1)))</f>
        <v>0.045</v>
      </c>
      <c r="P213" s="164">
        <f ca="1">IF(O$213&lt;OFFSET(Scenarios!$A$9,0,$C$1),MIN(O$213+OFFSET(Scenarios!$A$16,0,$C$1),OFFSET(Scenarios!$A$9,0,$C$1)),MAX(O$213-OFFSET(Scenarios!$A$16,0,$C$1),OFFSET(Scenarios!$A$9,0,$C$1)))</f>
        <v>0.045</v>
      </c>
      <c r="Q213" s="164">
        <f ca="1">IF(P$213&lt;OFFSET(Scenarios!$A$9,0,$C$1),MIN(P$213+OFFSET(Scenarios!$A$16,0,$C$1),OFFSET(Scenarios!$A$9,0,$C$1)),MAX(P$213-OFFSET(Scenarios!$A$16,0,$C$1),OFFSET(Scenarios!$A$9,0,$C$1)))</f>
        <v>0.045</v>
      </c>
      <c r="R213" s="164">
        <f ca="1">IF(Q$213&lt;OFFSET(Scenarios!$A$9,0,$C$1),MIN(Q$213+OFFSET(Scenarios!$A$16,0,$C$1),OFFSET(Scenarios!$A$9,0,$C$1)),MAX(Q$213-OFFSET(Scenarios!$A$16,0,$C$1),OFFSET(Scenarios!$A$9,0,$C$1)))</f>
        <v>0.045</v>
      </c>
      <c r="S213" s="164">
        <f ca="1">IF(R$213&lt;OFFSET(Scenarios!$A$9,0,$C$1),MIN(R$213+OFFSET(Scenarios!$A$16,0,$C$1),OFFSET(Scenarios!$A$9,0,$C$1)),MAX(R$213-OFFSET(Scenarios!$A$16,0,$C$1),OFFSET(Scenarios!$A$9,0,$C$1)))</f>
        <v>0.045</v>
      </c>
      <c r="T213" s="164">
        <f ca="1">IF(S$213&lt;OFFSET(Scenarios!$A$9,0,$C$1),MIN(S$213+OFFSET(Scenarios!$A$16,0,$C$1),OFFSET(Scenarios!$A$9,0,$C$1)),MAX(S$213-OFFSET(Scenarios!$A$16,0,$C$1),OFFSET(Scenarios!$A$9,0,$C$1)))</f>
        <v>0.045</v>
      </c>
    </row>
    <row r="214" spans="1:20" ht="12.75">
      <c r="A214" s="46" t="s">
        <v>594</v>
      </c>
      <c r="D214" s="94">
        <f aca="true" t="shared" si="112" ref="D214:T214">D$210*(1-D$213)</f>
        <v>2.13411336</v>
      </c>
      <c r="E214" s="94">
        <f t="shared" si="112"/>
        <v>2.1582061500000003</v>
      </c>
      <c r="F214" s="169">
        <f t="shared" si="112"/>
        <v>2.1641867500000003</v>
      </c>
      <c r="G214" s="169">
        <f t="shared" si="112"/>
        <v>2.08197555</v>
      </c>
      <c r="H214" s="169">
        <f t="shared" si="112"/>
        <v>2.0559880500000003</v>
      </c>
      <c r="I214" s="169">
        <f t="shared" si="112"/>
        <v>2.10218028</v>
      </c>
      <c r="J214" s="169">
        <f t="shared" si="112"/>
        <v>2.1759191999999996</v>
      </c>
      <c r="K214" s="98">
        <f t="shared" si="112"/>
        <v>2.231545037517964</v>
      </c>
      <c r="L214" s="98">
        <f t="shared" si="112"/>
        <v>2.2825049513955786</v>
      </c>
      <c r="M214" s="98">
        <f t="shared" si="112"/>
        <v>2.3281941189146758</v>
      </c>
      <c r="N214" s="98">
        <f t="shared" si="112"/>
        <v>2.34842254750517</v>
      </c>
      <c r="O214" s="98">
        <f t="shared" si="112"/>
        <v>2.364986113557352</v>
      </c>
      <c r="P214" s="98">
        <f t="shared" si="112"/>
        <v>2.3811466262580927</v>
      </c>
      <c r="Q214" s="98">
        <f t="shared" si="112"/>
        <v>2.3969981939225615</v>
      </c>
      <c r="R214" s="98">
        <f t="shared" si="112"/>
        <v>2.4120986346498015</v>
      </c>
      <c r="S214" s="98">
        <f t="shared" si="112"/>
        <v>2.4277320506789977</v>
      </c>
      <c r="T214" s="98">
        <f t="shared" si="112"/>
        <v>2.4431527233276022</v>
      </c>
    </row>
    <row r="215" spans="1:20" ht="12.75">
      <c r="A215" s="228" t="s">
        <v>146</v>
      </c>
      <c r="D215" s="163"/>
      <c r="E215" s="163">
        <f aca="true" t="shared" si="113" ref="E215:T215">E$214/D$214-1</f>
        <v>0.011289367496392089</v>
      </c>
      <c r="F215" s="167">
        <f t="shared" si="113"/>
        <v>0.002771097654410859</v>
      </c>
      <c r="G215" s="167">
        <f t="shared" si="113"/>
        <v>-0.03798710993864096</v>
      </c>
      <c r="H215" s="167">
        <f t="shared" si="113"/>
        <v>-0.012482135056773314</v>
      </c>
      <c r="I215" s="167">
        <f t="shared" si="113"/>
        <v>0.022467168522696257</v>
      </c>
      <c r="J215" s="167">
        <f t="shared" si="113"/>
        <v>0.035077353118353694</v>
      </c>
      <c r="K215" s="164">
        <f t="shared" si="113"/>
        <v>0.02556429370997071</v>
      </c>
      <c r="L215" s="164">
        <f t="shared" si="113"/>
        <v>0.022836157469756868</v>
      </c>
      <c r="M215" s="164">
        <f t="shared" si="113"/>
        <v>0.020017116497890397</v>
      </c>
      <c r="N215" s="164">
        <f t="shared" si="113"/>
        <v>0.008688463056475637</v>
      </c>
      <c r="O215" s="164">
        <f t="shared" si="113"/>
        <v>0.007053060391443822</v>
      </c>
      <c r="P215" s="164">
        <f t="shared" si="113"/>
        <v>0.006833237881651799</v>
      </c>
      <c r="Q215" s="164">
        <f t="shared" si="113"/>
        <v>0.006657115311449413</v>
      </c>
      <c r="R215" s="164">
        <f t="shared" si="113"/>
        <v>0.006299729705898871</v>
      </c>
      <c r="S215" s="164">
        <f t="shared" si="113"/>
        <v>0.006481250726907417</v>
      </c>
      <c r="T215" s="164">
        <f t="shared" si="113"/>
        <v>0.006351884115173068</v>
      </c>
    </row>
    <row r="216" spans="1:20" ht="12.75">
      <c r="A216" s="46" t="s">
        <v>133</v>
      </c>
      <c r="B216" s="333"/>
      <c r="D216" s="247">
        <f>Data!C$204</f>
        <v>38.1</v>
      </c>
      <c r="E216" s="247">
        <f>Data!D$204</f>
        <v>38</v>
      </c>
      <c r="F216" s="176">
        <f ca="1">IF(OR($F$1="Yes",$O$1="Yes"),OFFSET(ReadyReckoner!$A$31,0,F$247),Data!E$204)</f>
        <v>37.7</v>
      </c>
      <c r="G216" s="176">
        <f ca="1">IF(OR($F$1="Yes",$O$1="Yes"),OFFSET(ReadyReckoner!$A$31,0,G$247),Data!F$204)</f>
        <v>37.9</v>
      </c>
      <c r="H216" s="176">
        <f ca="1">IF(OR($F$1="Yes",$O$1="Yes"),OFFSET(ReadyReckoner!$A$31,0,H$247),Data!G$204)</f>
        <v>38.3</v>
      </c>
      <c r="I216" s="176">
        <f ca="1">IF(OR($F$1="Yes",$O$1="Yes"),OFFSET(ReadyReckoner!$A$31,0,I$247),Data!H$204)</f>
        <v>38.2</v>
      </c>
      <c r="J216" s="176">
        <f ca="1">IF(OR($F$1="Yes",$O$1="Yes"),OFFSET(ReadyReckoner!$A$31,0,J$247),Data!I$204)</f>
        <v>38.1</v>
      </c>
      <c r="K216" s="191">
        <f ca="1">IF(J$216&lt;OFFSET(Scenarios!$A$10,0,$C$1),MIN(J$216+OFFSET(Scenarios!$A$17,0,$C$1),OFFSET(Scenarios!$A$10,0,$C$1)),MAX(J$216-OFFSET(Scenarios!$A$17,0,$C$1),OFFSET(Scenarios!$A$10,0,$C$1)))</f>
        <v>38</v>
      </c>
      <c r="L216" s="191">
        <f ca="1">IF(K$216&lt;OFFSET(Scenarios!$A$10,0,$C$1),MIN(K$216+OFFSET(Scenarios!$A$17,0,$C$1),OFFSET(Scenarios!$A$10,0,$C$1)),MAX(K$216-OFFSET(Scenarios!$A$17,0,$C$1),OFFSET(Scenarios!$A$10,0,$C$1)))</f>
        <v>38</v>
      </c>
      <c r="M216" s="191">
        <f ca="1">IF(L$216&lt;OFFSET(Scenarios!$A$10,0,$C$1),MIN(L$216+OFFSET(Scenarios!$A$17,0,$C$1),OFFSET(Scenarios!$A$10,0,$C$1)),MAX(L$216-OFFSET(Scenarios!$A$17,0,$C$1),OFFSET(Scenarios!$A$10,0,$C$1)))</f>
        <v>38</v>
      </c>
      <c r="N216" s="191">
        <f ca="1">IF(M$216&lt;OFFSET(Scenarios!$A$10,0,$C$1),MIN(M$216+OFFSET(Scenarios!$A$17,0,$C$1),OFFSET(Scenarios!$A$10,0,$C$1)),MAX(M$216-OFFSET(Scenarios!$A$17,0,$C$1),OFFSET(Scenarios!$A$10,0,$C$1)))</f>
        <v>38</v>
      </c>
      <c r="O216" s="191">
        <f ca="1">IF(N$216&lt;OFFSET(Scenarios!$A$10,0,$C$1),MIN(N$216+OFFSET(Scenarios!$A$17,0,$C$1),OFFSET(Scenarios!$A$10,0,$C$1)),MAX(N$216-OFFSET(Scenarios!$A$17,0,$C$1),OFFSET(Scenarios!$A$10,0,$C$1)))</f>
        <v>38</v>
      </c>
      <c r="P216" s="191">
        <f ca="1">IF(O$216&lt;OFFSET(Scenarios!$A$10,0,$C$1),MIN(O$216+OFFSET(Scenarios!$A$17,0,$C$1),OFFSET(Scenarios!$A$10,0,$C$1)),MAX(O$216-OFFSET(Scenarios!$A$17,0,$C$1),OFFSET(Scenarios!$A$10,0,$C$1)))</f>
        <v>38</v>
      </c>
      <c r="Q216" s="191">
        <f ca="1">IF(P$216&lt;OFFSET(Scenarios!$A$10,0,$C$1),MIN(P$216+OFFSET(Scenarios!$A$17,0,$C$1),OFFSET(Scenarios!$A$10,0,$C$1)),MAX(P$216-OFFSET(Scenarios!$A$17,0,$C$1),OFFSET(Scenarios!$A$10,0,$C$1)))</f>
        <v>38</v>
      </c>
      <c r="R216" s="191">
        <f ca="1">IF(Q$216&lt;OFFSET(Scenarios!$A$10,0,$C$1),MIN(Q$216+OFFSET(Scenarios!$A$17,0,$C$1),OFFSET(Scenarios!$A$10,0,$C$1)),MAX(Q$216-OFFSET(Scenarios!$A$17,0,$C$1),OFFSET(Scenarios!$A$10,0,$C$1)))</f>
        <v>38</v>
      </c>
      <c r="S216" s="191">
        <f ca="1">IF(R$216&lt;OFFSET(Scenarios!$A$10,0,$C$1),MIN(R$216+OFFSET(Scenarios!$A$17,0,$C$1),OFFSET(Scenarios!$A$10,0,$C$1)),MAX(R$216-OFFSET(Scenarios!$A$17,0,$C$1),OFFSET(Scenarios!$A$10,0,$C$1)))</f>
        <v>38</v>
      </c>
      <c r="T216" s="191">
        <f ca="1">IF(S$216&lt;OFFSET(Scenarios!$A$10,0,$C$1),MIN(S$216+OFFSET(Scenarios!$A$17,0,$C$1),OFFSET(Scenarios!$A$10,0,$C$1)),MAX(S$216-OFFSET(Scenarios!$A$17,0,$C$1),OFFSET(Scenarios!$A$10,0,$C$1)))</f>
        <v>38</v>
      </c>
    </row>
    <row r="217" spans="1:20" ht="12.75">
      <c r="A217" s="46" t="s">
        <v>226</v>
      </c>
      <c r="B217" s="333"/>
      <c r="D217" s="163">
        <f>Data!C$206</f>
        <v>0.0472</v>
      </c>
      <c r="E217" s="163">
        <f>Data!D$206</f>
        <v>0.0451</v>
      </c>
      <c r="F217" s="167">
        <f ca="1">IF(OR($F$1="Yes",$O$1="Yes"),OFFSET(ReadyReckoner!$A$33,0,F$247),Data!E$206)</f>
        <v>0.0461</v>
      </c>
      <c r="G217" s="167">
        <f ca="1">IF(OR($F$1="Yes",$O$1="Yes"),OFFSET(ReadyReckoner!$A$33,0,G$247),Data!F$206)</f>
        <v>0.0217</v>
      </c>
      <c r="H217" s="167">
        <f ca="1">IF(OR($F$1="Yes",$O$1="Yes"),OFFSET(ReadyReckoner!$A$33,0,H$247),Data!G$206)</f>
        <v>0.0131</v>
      </c>
      <c r="I217" s="167">
        <f ca="1">IF(OR($F$1="Yes",$O$1="Yes"),OFFSET(ReadyReckoner!$A$33,0,I$247),Data!H$206)</f>
        <v>0.0126</v>
      </c>
      <c r="J217" s="167">
        <f ca="1">IF(OR($F$1="Yes",$O$1="Yes"),OFFSET(ReadyReckoner!$A$33,0,J$247),Data!I$206)</f>
        <v>0.0158</v>
      </c>
      <c r="K217" s="164">
        <f aca="true" t="shared" si="114" ref="K217:T217">(1+K$206)*(1+K$218)-1</f>
        <v>0.034337724465207</v>
      </c>
      <c r="L217" s="164">
        <f t="shared" si="114"/>
        <v>0.03529999999999989</v>
      </c>
      <c r="M217" s="164">
        <f t="shared" si="114"/>
        <v>0.03529999999999989</v>
      </c>
      <c r="N217" s="164">
        <f t="shared" si="114"/>
        <v>0.03529999999999989</v>
      </c>
      <c r="O217" s="164">
        <f t="shared" si="114"/>
        <v>0.03529999999999989</v>
      </c>
      <c r="P217" s="164">
        <f t="shared" si="114"/>
        <v>0.03529999999999989</v>
      </c>
      <c r="Q217" s="164">
        <f t="shared" si="114"/>
        <v>0.03529999999999989</v>
      </c>
      <c r="R217" s="164">
        <f t="shared" si="114"/>
        <v>0.03529999999999989</v>
      </c>
      <c r="S217" s="164">
        <f t="shared" si="114"/>
        <v>0.03529999999999989</v>
      </c>
      <c r="T217" s="164">
        <f t="shared" si="114"/>
        <v>0.03529999999999989</v>
      </c>
    </row>
    <row r="218" spans="1:20" ht="12.75">
      <c r="A218" s="46" t="s">
        <v>334</v>
      </c>
      <c r="B218" s="333"/>
      <c r="D218" s="163">
        <f>Data!C$205</f>
        <v>0.0155</v>
      </c>
      <c r="E218" s="163">
        <f>Data!D$205</f>
        <v>0.0259</v>
      </c>
      <c r="F218" s="167">
        <f ca="1">IF(OR($F$1="Yes",$O$1="Yes"),OFFSET(ReadyReckoner!$A$32,0,F$247),Data!E$205)</f>
        <v>-0.0035</v>
      </c>
      <c r="G218" s="167">
        <f ca="1">IF(OR($F$1="Yes",$O$1="Yes"),OFFSET(ReadyReckoner!$A$32,0,G$247),Data!F$205)</f>
        <v>0.0302</v>
      </c>
      <c r="H218" s="167">
        <f ca="1">IF(OR($F$1="Yes",$O$1="Yes"),OFFSET(ReadyReckoner!$A$32,0,H$247),Data!G$205)</f>
        <v>0.0255</v>
      </c>
      <c r="I218" s="167">
        <f ca="1">IF(OR($F$1="Yes",$O$1="Yes"),OFFSET(ReadyReckoner!$A$32,0,I$247),Data!H$205)</f>
        <v>0.0125</v>
      </c>
      <c r="J218" s="167">
        <f ca="1">IF(OR($F$1="Yes",$O$1="Yes"),OFFSET(ReadyReckoner!$A$32,0,J$247),Data!I$205)</f>
        <v>0.0071</v>
      </c>
      <c r="K218" s="164">
        <f ca="1">OFFSET(Scenarios!$A$6,0,$C$1)</f>
        <v>0.015</v>
      </c>
      <c r="L218" s="164">
        <f ca="1">OFFSET(Scenarios!$A$6,0,$C$1)</f>
        <v>0.015</v>
      </c>
      <c r="M218" s="164">
        <f ca="1">OFFSET(Scenarios!$A$6,0,$C$1)</f>
        <v>0.015</v>
      </c>
      <c r="N218" s="164">
        <f ca="1">OFFSET(Scenarios!$A$6,0,$C$1)</f>
        <v>0.015</v>
      </c>
      <c r="O218" s="164">
        <f ca="1">OFFSET(Scenarios!$A$6,0,$C$1)</f>
        <v>0.015</v>
      </c>
      <c r="P218" s="164">
        <f ca="1">OFFSET(Scenarios!$A$6,0,$C$1)</f>
        <v>0.015</v>
      </c>
      <c r="Q218" s="164">
        <f ca="1">OFFSET(Scenarios!$A$6,0,$C$1)</f>
        <v>0.015</v>
      </c>
      <c r="R218" s="164">
        <f ca="1">OFFSET(Scenarios!$A$6,0,$C$1)</f>
        <v>0.015</v>
      </c>
      <c r="S218" s="164">
        <f ca="1">OFFSET(Scenarios!$A$6,0,$C$1)</f>
        <v>0.015</v>
      </c>
      <c r="T218" s="164">
        <f ca="1">OFFSET(Scenarios!$A$6,0,$C$1)</f>
        <v>0.015</v>
      </c>
    </row>
    <row r="219" spans="4:20" ht="12.75">
      <c r="D219" s="97"/>
      <c r="E219" s="97"/>
      <c r="T219" s="98"/>
    </row>
    <row r="220" spans="1:20" ht="15.75">
      <c r="A220" s="218" t="s">
        <v>335</v>
      </c>
      <c r="D220" s="97"/>
      <c r="E220" s="97"/>
      <c r="T220" s="98"/>
    </row>
    <row r="221" spans="1:20" ht="12.75">
      <c r="A221" s="46" t="s">
        <v>293</v>
      </c>
      <c r="D221" s="97"/>
      <c r="E221" s="97"/>
      <c r="T221" s="98"/>
    </row>
    <row r="222" spans="1:20" ht="12.75">
      <c r="A222" s="47" t="s">
        <v>203</v>
      </c>
      <c r="D222" s="97"/>
      <c r="E222" s="95">
        <f>Popn!E$201</f>
        <v>0.021017258073702694</v>
      </c>
      <c r="F222" s="172">
        <f>Popn!F$201</f>
        <v>0.02740897764885264</v>
      </c>
      <c r="G222" s="172">
        <f>Popn!G$201</f>
        <v>0.028831535510026818</v>
      </c>
      <c r="H222" s="172">
        <f>Popn!H$201</f>
        <v>0.0305391855044419</v>
      </c>
      <c r="I222" s="172">
        <f>Popn!I$201</f>
        <v>0.04129325207831891</v>
      </c>
      <c r="J222" s="172">
        <f>Popn!J$201</f>
        <v>0.03831147540983615</v>
      </c>
      <c r="K222" s="192">
        <f>Popn!K$201</f>
        <v>0.035034813773939355</v>
      </c>
      <c r="L222" s="192">
        <f>Popn!L$201</f>
        <v>0.0346421380194033</v>
      </c>
      <c r="M222" s="192">
        <f>Popn!M$201</f>
        <v>0.03231751367449531</v>
      </c>
      <c r="N222" s="192">
        <f>Popn!N$201</f>
        <v>0.03164855253574039</v>
      </c>
      <c r="O222" s="192">
        <f>Popn!O$201</f>
        <v>0.030719180452689177</v>
      </c>
      <c r="P222" s="192">
        <f>Popn!P$201</f>
        <v>0.0313347838934106</v>
      </c>
      <c r="Q222" s="192">
        <f>Popn!Q$201</f>
        <v>0.03126831364684124</v>
      </c>
      <c r="R222" s="192">
        <f>Popn!R$201</f>
        <v>0.032126079709046795</v>
      </c>
      <c r="S222" s="192">
        <f>Popn!S$201</f>
        <v>0.03181128566534519</v>
      </c>
      <c r="T222" s="192">
        <f>Popn!T$201</f>
        <v>0.030830526964853222</v>
      </c>
    </row>
    <row r="223" spans="1:20" ht="12.75">
      <c r="A223" s="47" t="s">
        <v>263</v>
      </c>
      <c r="D223" s="97"/>
      <c r="E223" s="95">
        <f aca="true" t="shared" si="115" ref="E223:T223">E$206</f>
        <v>0.04019607843137263</v>
      </c>
      <c r="F223" s="172">
        <f t="shared" si="115"/>
        <v>0.018755890669180042</v>
      </c>
      <c r="G223" s="172">
        <f t="shared" si="115"/>
        <v>0.025206772134332533</v>
      </c>
      <c r="H223" s="172">
        <f t="shared" si="115"/>
        <v>0.01301723780079489</v>
      </c>
      <c r="I223" s="172">
        <f t="shared" si="115"/>
        <v>0.012171167792504933</v>
      </c>
      <c r="J223" s="172">
        <f t="shared" si="115"/>
        <v>0.017051945285918357</v>
      </c>
      <c r="K223" s="192">
        <f t="shared" si="115"/>
        <v>0.01905194528591836</v>
      </c>
      <c r="L223" s="192">
        <f t="shared" si="115"/>
        <v>0.02</v>
      </c>
      <c r="M223" s="192">
        <f t="shared" si="115"/>
        <v>0.02</v>
      </c>
      <c r="N223" s="192">
        <f t="shared" si="115"/>
        <v>0.02</v>
      </c>
      <c r="O223" s="192">
        <f t="shared" si="115"/>
        <v>0.02</v>
      </c>
      <c r="P223" s="192">
        <f t="shared" si="115"/>
        <v>0.02</v>
      </c>
      <c r="Q223" s="192">
        <f t="shared" si="115"/>
        <v>0.02</v>
      </c>
      <c r="R223" s="192">
        <f t="shared" si="115"/>
        <v>0.02</v>
      </c>
      <c r="S223" s="192">
        <f t="shared" si="115"/>
        <v>0.02</v>
      </c>
      <c r="T223" s="192">
        <f t="shared" si="115"/>
        <v>0.02</v>
      </c>
    </row>
    <row r="224" spans="1:20" ht="12.75">
      <c r="A224" s="47" t="s">
        <v>204</v>
      </c>
      <c r="D224" s="97"/>
      <c r="E224" s="317">
        <f aca="true" t="shared" si="116" ref="E224:T224">E$69/D$69-(1+E$222+E$223)</f>
        <v>0.017788131923705874</v>
      </c>
      <c r="F224" s="193">
        <f t="shared" si="116"/>
        <v>0.007999530157743129</v>
      </c>
      <c r="G224" s="193">
        <f t="shared" si="116"/>
        <v>0.010511137230414747</v>
      </c>
      <c r="H224" s="193">
        <f t="shared" si="116"/>
        <v>0.007256091853627966</v>
      </c>
      <c r="I224" s="193">
        <f t="shared" si="116"/>
        <v>0.006662527619078151</v>
      </c>
      <c r="J224" s="193">
        <f t="shared" si="116"/>
        <v>-0.0031099915644676734</v>
      </c>
      <c r="K224" s="194">
        <f t="shared" si="116"/>
        <v>0.003620844939651091</v>
      </c>
      <c r="L224" s="194">
        <f t="shared" si="116"/>
        <v>0.013054046938473673</v>
      </c>
      <c r="M224" s="194">
        <f t="shared" si="116"/>
        <v>0.012926624348085447</v>
      </c>
      <c r="N224" s="194">
        <f t="shared" si="116"/>
        <v>0.01285117082145959</v>
      </c>
      <c r="O224" s="194">
        <f t="shared" si="116"/>
        <v>0.012766491706963423</v>
      </c>
      <c r="P224" s="194">
        <f t="shared" si="116"/>
        <v>0.012729901444831215</v>
      </c>
      <c r="Q224" s="194">
        <f t="shared" si="116"/>
        <v>0.012670567128120869</v>
      </c>
      <c r="R224" s="194">
        <f t="shared" si="116"/>
        <v>0.012639373034277313</v>
      </c>
      <c r="S224" s="194">
        <f t="shared" si="116"/>
        <v>0.012569945113579672</v>
      </c>
      <c r="T224" s="194">
        <f t="shared" si="116"/>
        <v>0.01247842020225165</v>
      </c>
    </row>
    <row r="225" spans="1:20" ht="12.75">
      <c r="A225" s="107" t="s">
        <v>205</v>
      </c>
      <c r="D225" s="97"/>
      <c r="E225" s="318">
        <f aca="true" t="shared" si="117" ref="E225:T225">E$69/D$69-1</f>
        <v>0.0790014684287812</v>
      </c>
      <c r="F225" s="166">
        <f t="shared" si="117"/>
        <v>0.05416439847577581</v>
      </c>
      <c r="G225" s="166">
        <f t="shared" si="117"/>
        <v>0.0645494448747741</v>
      </c>
      <c r="H225" s="166">
        <f t="shared" si="117"/>
        <v>0.05081251515886476</v>
      </c>
      <c r="I225" s="166">
        <f t="shared" si="117"/>
        <v>0.060126947489901994</v>
      </c>
      <c r="J225" s="166">
        <f t="shared" si="117"/>
        <v>0.05225342913128683</v>
      </c>
      <c r="K225" s="165">
        <f t="shared" si="117"/>
        <v>0.057707603999508805</v>
      </c>
      <c r="L225" s="165">
        <f t="shared" si="117"/>
        <v>0.06769618495787699</v>
      </c>
      <c r="M225" s="165">
        <f t="shared" si="117"/>
        <v>0.06524413802258078</v>
      </c>
      <c r="N225" s="165">
        <f t="shared" si="117"/>
        <v>0.0644997233572</v>
      </c>
      <c r="O225" s="165">
        <f t="shared" si="117"/>
        <v>0.06348567215965262</v>
      </c>
      <c r="P225" s="165">
        <f t="shared" si="117"/>
        <v>0.06406468533824183</v>
      </c>
      <c r="Q225" s="165">
        <f t="shared" si="117"/>
        <v>0.06393888077496213</v>
      </c>
      <c r="R225" s="165">
        <f t="shared" si="117"/>
        <v>0.06476545274332413</v>
      </c>
      <c r="S225" s="165">
        <f t="shared" si="117"/>
        <v>0.06438123077892488</v>
      </c>
      <c r="T225" s="165">
        <f t="shared" si="117"/>
        <v>0.06330894716710489</v>
      </c>
    </row>
    <row r="226" spans="1:19" ht="12.75">
      <c r="A226" s="46" t="s">
        <v>206</v>
      </c>
      <c r="D226" s="97"/>
      <c r="E226" s="97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20" ht="12.75">
      <c r="A227" s="47" t="s">
        <v>203</v>
      </c>
      <c r="D227" s="97"/>
      <c r="E227" s="95">
        <f>SUM(D$70*((E$210*E$213)/(D$210*D$213)-1),D$71*(SUMPRODUCT(Popn!E$204:E$214,Tracks!$H$91:$H$101)+SUMPRODUCT(Popn!E$215:E$225,Tracks!$I$91:$I$101)),D$72*AVERAGE(Popn!E$197,Popn!E$202))/(D$73-D$69)</f>
        <v>0.006769653391535491</v>
      </c>
      <c r="F227" s="172">
        <f>SUM(E$70*((F$210*F$213)/(E$210*E$213)-1),E$71*(SUMPRODUCT(Popn!F$204:F$214,Tracks!$H$91:$H$101)+SUMPRODUCT(Popn!F$215:F$225,Tracks!$I$91:$I$101)),E$72*AVERAGE(Popn!F$197,Popn!F$202))/(E$73-E$69)</f>
        <v>0.023799389106767512</v>
      </c>
      <c r="G227" s="172">
        <f>SUM(F$70*((G$210*G$213)/(F$210*F$213)-1),F$71*(SUMPRODUCT(Popn!G$204:G$214,Tracks!$H$91:$H$101)+SUMPRODUCT(Popn!G$215:G$225,Tracks!$I$91:$I$101)),F$72*AVERAGE(Popn!G$197,Popn!G$202))/(F$73-F$69)</f>
        <v>0.030779390169883</v>
      </c>
      <c r="H227" s="172">
        <f>SUM(G$70*((H$210*H$213)/(G$210*G$213)-1),G$71*(SUMPRODUCT(Popn!H$204:H$214,Tracks!$H$91:$H$101)+SUMPRODUCT(Popn!H$215:H$225,Tracks!$I$91:$I$101)),G$72*AVERAGE(Popn!H$197,Popn!H$202))/(G$73-G$69)</f>
        <v>0.010790508095399014</v>
      </c>
      <c r="I227" s="172">
        <f>SUM(H$70*((I$210*I$213)/(H$210*H$213)-1),H$71*(SUMPRODUCT(Popn!I$204:I$214,Tracks!$H$91:$H$101)+SUMPRODUCT(Popn!I$215:I$225,Tracks!$I$91:$I$101)),H$72*AVERAGE(Popn!I$197,Popn!I$202))/(H$73-H$69)</f>
        <v>-0.009105606411094208</v>
      </c>
      <c r="J227" s="172">
        <f>SUM(I$70*((J$210*J$213)/(I$210*I$213)-1),I$71*(SUMPRODUCT(Popn!J$204:J$214,Tracks!$H$91:$H$101)+SUMPRODUCT(Popn!J$215:J$225,Tracks!$I$91:$I$101)),I$72*AVERAGE(Popn!J$197,Popn!J$202))/(I$73-I$69)</f>
        <v>-0.011691776725502279</v>
      </c>
      <c r="K227" s="192">
        <f>SUM(J$70*((K$210*K$213)/(J$210*J$213)-1),J$71*(SUMPRODUCT(Popn!K$204:K$214,Tracks!$H$91:$H$101)+SUMPRODUCT(Popn!K$215:K$225,Tracks!$I$91:$I$101)),J$72*AVERAGE(Popn!K$197,Popn!K$202))/(J$73-J$69)</f>
        <v>-0.0019111350844696398</v>
      </c>
      <c r="L227" s="192">
        <f>SUM(K$70*((L$210*L$213)/(K$210*K$213)-1),K$71*(SUMPRODUCT(Popn!L$204:L$214,Tracks!$H$91:$H$101)+SUMPRODUCT(Popn!L$215:L$225,Tracks!$I$91:$I$101)),K$72*AVERAGE(Popn!L$197,Popn!L$202))/(K$73-K$69)</f>
        <v>0.0021753650304978983</v>
      </c>
      <c r="M227" s="192">
        <f>SUM(L$70*((M$210*M$213)/(L$210*L$213)-1),L$71*(SUMPRODUCT(Popn!M$204:M$214,Tracks!$H$91:$H$101)+SUMPRODUCT(Popn!M$215:M$225,Tracks!$I$91:$I$101)),L$72*AVERAGE(Popn!M$197,Popn!M$202))/(L$73-L$69)</f>
        <v>0.006274791761496974</v>
      </c>
      <c r="N227" s="192">
        <f>SUM(M$70*((N$210*N$213)/(M$210*M$213)-1),M$71*(SUMPRODUCT(Popn!N$204:N$214,Tracks!$H$91:$H$101)+SUMPRODUCT(Popn!N$215:N$225,Tracks!$I$91:$I$101)),M$72*AVERAGE(Popn!N$197,Popn!N$202))/(M$73-M$69)</f>
        <v>0.0054386281134274055</v>
      </c>
      <c r="O227" s="192">
        <f>SUM(N$70*((O$210*O$213)/(N$210*N$213)-1),N$71*(SUMPRODUCT(Popn!O$204:O$214,Tracks!$H$91:$H$101)+SUMPRODUCT(Popn!O$215:O$225,Tracks!$I$91:$I$101)),N$72*AVERAGE(Popn!O$197,Popn!O$202))/(N$73-N$69)</f>
        <v>0.005334785979170117</v>
      </c>
      <c r="P227" s="192">
        <f>SUM(O$70*((P$210*P$213)/(O$210*O$213)-1),O$71*(SUMPRODUCT(Popn!P$204:P$214,Tracks!$H$91:$H$101)+SUMPRODUCT(Popn!P$215:P$225,Tracks!$I$91:$I$101)),O$72*AVERAGE(Popn!P$197,Popn!P$202))/(O$73-O$69)</f>
        <v>0.0051020911345083025</v>
      </c>
      <c r="Q227" s="192">
        <f>SUM(P$70*((Q$210*Q$213)/(P$210*P$213)-1),P$71*(SUMPRODUCT(Popn!Q$204:Q$214,Tracks!$H$91:$H$101)+SUMPRODUCT(Popn!Q$215:Q$225,Tracks!$I$91:$I$101)),P$72*AVERAGE(Popn!Q$197,Popn!Q$202))/(P$73-P$69)</f>
        <v>0.004211552935432792</v>
      </c>
      <c r="R227" s="192">
        <f>SUM(Q$70*((R$210*R$213)/(Q$210*Q$213)-1),Q$71*(SUMPRODUCT(Popn!R$204:R$214,Tracks!$H$91:$H$101)+SUMPRODUCT(Popn!R$215:R$225,Tracks!$I$91:$I$101)),Q$72*AVERAGE(Popn!R$197,Popn!R$202))/(Q$73-Q$69)</f>
        <v>0.004157504218223225</v>
      </c>
      <c r="S227" s="192">
        <f>SUM(R$70*((S$210*S$213)/(R$210*R$213)-1),R$71*(SUMPRODUCT(Popn!S$204:S$214,Tracks!$H$91:$H$101)+SUMPRODUCT(Popn!S$215:S$225,Tracks!$I$91:$I$101)),R$72*AVERAGE(Popn!S$197,Popn!S$202))/(R$73-R$69)</f>
        <v>0.004650764226987648</v>
      </c>
      <c r="T227" s="192">
        <f>SUM(S$70*((T$210*T$213)/(S$210*S$213)-1),S$71*(SUMPRODUCT(Popn!T$204:T$214,Tracks!$H$91:$H$101)+SUMPRODUCT(Popn!T$215:T$225,Tracks!$I$91:$I$101)),S$72*AVERAGE(Popn!T$197,Popn!T$202))/(S$73-S$69)</f>
        <v>0.0043156333933682565</v>
      </c>
    </row>
    <row r="228" spans="1:20" ht="12.75">
      <c r="A228" s="47" t="s">
        <v>263</v>
      </c>
      <c r="D228" s="97"/>
      <c r="E228" s="95">
        <f aca="true" t="shared" si="118" ref="E228:T228">E$206</f>
        <v>0.04019607843137263</v>
      </c>
      <c r="F228" s="172">
        <f t="shared" si="118"/>
        <v>0.018755890669180042</v>
      </c>
      <c r="G228" s="172">
        <f t="shared" si="118"/>
        <v>0.025206772134332533</v>
      </c>
      <c r="H228" s="172">
        <f t="shared" si="118"/>
        <v>0.01301723780079489</v>
      </c>
      <c r="I228" s="172">
        <f t="shared" si="118"/>
        <v>0.012171167792504933</v>
      </c>
      <c r="J228" s="172">
        <f t="shared" si="118"/>
        <v>0.017051945285918357</v>
      </c>
      <c r="K228" s="192">
        <f t="shared" si="118"/>
        <v>0.01905194528591836</v>
      </c>
      <c r="L228" s="192">
        <f t="shared" si="118"/>
        <v>0.02</v>
      </c>
      <c r="M228" s="192">
        <f t="shared" si="118"/>
        <v>0.02</v>
      </c>
      <c r="N228" s="192">
        <f t="shared" si="118"/>
        <v>0.02</v>
      </c>
      <c r="O228" s="192">
        <f t="shared" si="118"/>
        <v>0.02</v>
      </c>
      <c r="P228" s="192">
        <f t="shared" si="118"/>
        <v>0.02</v>
      </c>
      <c r="Q228" s="192">
        <f t="shared" si="118"/>
        <v>0.02</v>
      </c>
      <c r="R228" s="192">
        <f t="shared" si="118"/>
        <v>0.02</v>
      </c>
      <c r="S228" s="192">
        <f t="shared" si="118"/>
        <v>0.02</v>
      </c>
      <c r="T228" s="192">
        <f t="shared" si="118"/>
        <v>0.02</v>
      </c>
    </row>
    <row r="229" spans="1:20" ht="12.75">
      <c r="A229" s="47" t="s">
        <v>211</v>
      </c>
      <c r="D229" s="97"/>
      <c r="E229" s="317">
        <f aca="true" t="shared" si="119" ref="E229:T229">(E$73-E$69)/(D$73-D$69)-(1+E$227+E$228)</f>
        <v>0.010375099669359011</v>
      </c>
      <c r="F229" s="193">
        <f t="shared" si="119"/>
        <v>0.07141565763501267</v>
      </c>
      <c r="G229" s="193">
        <f t="shared" si="119"/>
        <v>0.04325503472877945</v>
      </c>
      <c r="H229" s="193">
        <f t="shared" si="119"/>
        <v>0.01931643001321448</v>
      </c>
      <c r="I229" s="193">
        <f t="shared" si="119"/>
        <v>0.01849738010122759</v>
      </c>
      <c r="J229" s="193">
        <f t="shared" si="119"/>
        <v>0.0067950101279889985</v>
      </c>
      <c r="K229" s="194">
        <f t="shared" si="119"/>
        <v>-3.641084106309478E-05</v>
      </c>
      <c r="L229" s="194">
        <f t="shared" si="119"/>
        <v>4.350730061020158E-05</v>
      </c>
      <c r="M229" s="194">
        <f t="shared" si="119"/>
        <v>0.0001254958352296942</v>
      </c>
      <c r="N229" s="194">
        <f t="shared" si="119"/>
        <v>0.00010877256226859977</v>
      </c>
      <c r="O229" s="194">
        <f t="shared" si="119"/>
        <v>0.00010669571958343838</v>
      </c>
      <c r="P229" s="194">
        <f t="shared" si="119"/>
        <v>0.00010204182269002438</v>
      </c>
      <c r="Q229" s="194">
        <f t="shared" si="119"/>
        <v>8.423105870880576E-05</v>
      </c>
      <c r="R229" s="194">
        <f t="shared" si="119"/>
        <v>8.315008436476923E-05</v>
      </c>
      <c r="S229" s="194">
        <f t="shared" si="119"/>
        <v>9.301528453953267E-05</v>
      </c>
      <c r="T229" s="194">
        <f t="shared" si="119"/>
        <v>8.631266786784941E-05</v>
      </c>
    </row>
    <row r="230" spans="1:20" ht="12.75">
      <c r="A230" s="107" t="s">
        <v>205</v>
      </c>
      <c r="D230" s="97"/>
      <c r="E230" s="318">
        <f aca="true" t="shared" si="120" ref="E230:T230">(E$73-E$69)/(D$73-D$69)-1</f>
        <v>0.05734083149226721</v>
      </c>
      <c r="F230" s="166">
        <f t="shared" si="120"/>
        <v>0.11397093741096032</v>
      </c>
      <c r="G230" s="166">
        <f t="shared" si="120"/>
        <v>0.09924119703299494</v>
      </c>
      <c r="H230" s="166">
        <f t="shared" si="120"/>
        <v>0.04312417590940831</v>
      </c>
      <c r="I230" s="166">
        <f t="shared" si="120"/>
        <v>0.021562941482638154</v>
      </c>
      <c r="J230" s="166">
        <f t="shared" si="120"/>
        <v>0.0121551786884051</v>
      </c>
      <c r="K230" s="165">
        <f t="shared" si="120"/>
        <v>0.017104399360385658</v>
      </c>
      <c r="L230" s="165">
        <f t="shared" si="120"/>
        <v>0.022218872331108086</v>
      </c>
      <c r="M230" s="165">
        <f t="shared" si="120"/>
        <v>0.026400287596726635</v>
      </c>
      <c r="N230" s="165">
        <f t="shared" si="120"/>
        <v>0.02554740067569594</v>
      </c>
      <c r="O230" s="165">
        <f t="shared" si="120"/>
        <v>0.0254414816987536</v>
      </c>
      <c r="P230" s="165">
        <f t="shared" si="120"/>
        <v>0.025204132957198366</v>
      </c>
      <c r="Q230" s="165">
        <f t="shared" si="120"/>
        <v>0.024295783994141562</v>
      </c>
      <c r="R230" s="165">
        <f t="shared" si="120"/>
        <v>0.024240654302587927</v>
      </c>
      <c r="S230" s="165">
        <f t="shared" si="120"/>
        <v>0.024743779511527286</v>
      </c>
      <c r="T230" s="165">
        <f t="shared" si="120"/>
        <v>0.024401946061236135</v>
      </c>
    </row>
    <row r="231" spans="1:20" ht="12.75">
      <c r="A231" s="46" t="s">
        <v>520</v>
      </c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</row>
    <row r="232" spans="1:20" ht="12.75">
      <c r="A232" s="47" t="s">
        <v>203</v>
      </c>
      <c r="D232" s="97"/>
      <c r="E232" s="95">
        <f aca="true" t="shared" si="121" ref="E232:T232">SUM(E$86,E$87)/SUM(D$86,D$87)-1</f>
        <v>0.01718949173050066</v>
      </c>
      <c r="F232" s="172">
        <f t="shared" si="121"/>
        <v>0.018181509357703796</v>
      </c>
      <c r="G232" s="172">
        <f t="shared" si="121"/>
        <v>0.01921882684441889</v>
      </c>
      <c r="H232" s="172">
        <f t="shared" si="121"/>
        <v>0.018098406948925838</v>
      </c>
      <c r="I232" s="172">
        <f t="shared" si="121"/>
        <v>0.017539692243216498</v>
      </c>
      <c r="J232" s="172">
        <f t="shared" si="121"/>
        <v>0.01623403958139291</v>
      </c>
      <c r="K232" s="192">
        <f t="shared" si="121"/>
        <v>0.01616075638004255</v>
      </c>
      <c r="L232" s="192">
        <f t="shared" si="121"/>
        <v>0.01666079508523799</v>
      </c>
      <c r="M232" s="192">
        <f t="shared" si="121"/>
        <v>0.016962812056267484</v>
      </c>
      <c r="N232" s="192">
        <f t="shared" si="121"/>
        <v>0.017300765475995572</v>
      </c>
      <c r="O232" s="192">
        <f t="shared" si="121"/>
        <v>0.016371370212484138</v>
      </c>
      <c r="P232" s="192">
        <f t="shared" si="121"/>
        <v>0.01659486124485765</v>
      </c>
      <c r="Q232" s="192">
        <f t="shared" si="121"/>
        <v>0.016928248741616247</v>
      </c>
      <c r="R232" s="192">
        <f t="shared" si="121"/>
        <v>0.017466364855155625</v>
      </c>
      <c r="S232" s="192">
        <f t="shared" si="121"/>
        <v>0.018311155270667845</v>
      </c>
      <c r="T232" s="192">
        <f t="shared" si="121"/>
        <v>0.016999236203888213</v>
      </c>
    </row>
    <row r="233" spans="1:20" ht="12.75">
      <c r="A233" s="47" t="s">
        <v>263</v>
      </c>
      <c r="D233" s="97"/>
      <c r="E233" s="95">
        <f aca="true" t="shared" si="122" ref="E233:T233">E$206</f>
        <v>0.04019607843137263</v>
      </c>
      <c r="F233" s="172">
        <f t="shared" si="122"/>
        <v>0.018755890669180042</v>
      </c>
      <c r="G233" s="172">
        <f t="shared" si="122"/>
        <v>0.025206772134332533</v>
      </c>
      <c r="H233" s="172">
        <f t="shared" si="122"/>
        <v>0.01301723780079489</v>
      </c>
      <c r="I233" s="172">
        <f t="shared" si="122"/>
        <v>0.012171167792504933</v>
      </c>
      <c r="J233" s="172">
        <f t="shared" si="122"/>
        <v>0.017051945285918357</v>
      </c>
      <c r="K233" s="192">
        <f t="shared" si="122"/>
        <v>0.01905194528591836</v>
      </c>
      <c r="L233" s="192">
        <f t="shared" si="122"/>
        <v>0.02</v>
      </c>
      <c r="M233" s="192">
        <f t="shared" si="122"/>
        <v>0.02</v>
      </c>
      <c r="N233" s="192">
        <f t="shared" si="122"/>
        <v>0.02</v>
      </c>
      <c r="O233" s="192">
        <f t="shared" si="122"/>
        <v>0.02</v>
      </c>
      <c r="P233" s="192">
        <f t="shared" si="122"/>
        <v>0.02</v>
      </c>
      <c r="Q233" s="192">
        <f t="shared" si="122"/>
        <v>0.02</v>
      </c>
      <c r="R233" s="192">
        <f t="shared" si="122"/>
        <v>0.02</v>
      </c>
      <c r="S233" s="192">
        <f t="shared" si="122"/>
        <v>0.02</v>
      </c>
      <c r="T233" s="192">
        <f t="shared" si="122"/>
        <v>0.02</v>
      </c>
    </row>
    <row r="234" spans="1:20" ht="12.75">
      <c r="A234" s="47" t="s">
        <v>214</v>
      </c>
      <c r="D234" s="97"/>
      <c r="E234" s="317">
        <f aca="true" t="shared" si="123" ref="E234:T234">E$84/D$84-(1+E$232+E$233)</f>
        <v>0.03358497546825712</v>
      </c>
      <c r="F234" s="193">
        <f t="shared" si="123"/>
        <v>0.060256545268327244</v>
      </c>
      <c r="G234" s="193">
        <f t="shared" si="123"/>
        <v>0.03641344902447563</v>
      </c>
      <c r="H234" s="193">
        <f t="shared" si="123"/>
        <v>-0.03305637774964609</v>
      </c>
      <c r="I234" s="193">
        <f t="shared" si="123"/>
        <v>-0.030683113419911034</v>
      </c>
      <c r="J234" s="193">
        <f t="shared" si="123"/>
        <v>-0.035831276078570506</v>
      </c>
      <c r="K234" s="194">
        <f t="shared" si="123"/>
        <v>-0.01905194528591836</v>
      </c>
      <c r="L234" s="194">
        <f t="shared" si="123"/>
        <v>-0.020000000000000018</v>
      </c>
      <c r="M234" s="194">
        <f t="shared" si="123"/>
        <v>-0.020000000000000018</v>
      </c>
      <c r="N234" s="194">
        <f t="shared" si="123"/>
        <v>-0.019999999999999796</v>
      </c>
      <c r="O234" s="194">
        <f t="shared" si="123"/>
        <v>-0.02000000000000024</v>
      </c>
      <c r="P234" s="194">
        <f t="shared" si="123"/>
        <v>-0.020000000000000018</v>
      </c>
      <c r="Q234" s="194">
        <f t="shared" si="123"/>
        <v>-0.020000000000000018</v>
      </c>
      <c r="R234" s="194">
        <f t="shared" si="123"/>
        <v>-0.020000000000000018</v>
      </c>
      <c r="S234" s="194">
        <f t="shared" si="123"/>
        <v>-0.020000000000000018</v>
      </c>
      <c r="T234" s="194">
        <f t="shared" si="123"/>
        <v>-0.020000000000000018</v>
      </c>
    </row>
    <row r="235" spans="1:20" ht="12.75">
      <c r="A235" s="107" t="s">
        <v>205</v>
      </c>
      <c r="D235" s="97"/>
      <c r="E235" s="318">
        <f aca="true" t="shared" si="124" ref="E235:T235">E$84/D$84-1</f>
        <v>0.0909705456301304</v>
      </c>
      <c r="F235" s="166">
        <f t="shared" si="124"/>
        <v>0.09719394529521108</v>
      </c>
      <c r="G235" s="166">
        <f t="shared" si="124"/>
        <v>0.08083904800322705</v>
      </c>
      <c r="H235" s="166">
        <f t="shared" si="124"/>
        <v>-0.0019407329999253653</v>
      </c>
      <c r="I235" s="166">
        <f t="shared" si="124"/>
        <v>-0.000972253384189603</v>
      </c>
      <c r="J235" s="166">
        <f t="shared" si="124"/>
        <v>-0.0025452912112592374</v>
      </c>
      <c r="K235" s="165">
        <f t="shared" si="124"/>
        <v>0.01616075638004255</v>
      </c>
      <c r="L235" s="165">
        <f t="shared" si="124"/>
        <v>0.01666079508523799</v>
      </c>
      <c r="M235" s="165">
        <f t="shared" si="124"/>
        <v>0.016962812056267484</v>
      </c>
      <c r="N235" s="165">
        <f t="shared" si="124"/>
        <v>0.017300765475995794</v>
      </c>
      <c r="O235" s="165">
        <f t="shared" si="124"/>
        <v>0.016371370212483916</v>
      </c>
      <c r="P235" s="165">
        <f t="shared" si="124"/>
        <v>0.01659486124485765</v>
      </c>
      <c r="Q235" s="165">
        <f t="shared" si="124"/>
        <v>0.016928248741616247</v>
      </c>
      <c r="R235" s="165">
        <f t="shared" si="124"/>
        <v>0.017466364855155625</v>
      </c>
      <c r="S235" s="165">
        <f t="shared" si="124"/>
        <v>0.018311155270667845</v>
      </c>
      <c r="T235" s="165">
        <f t="shared" si="124"/>
        <v>0.016999236203888213</v>
      </c>
    </row>
    <row r="236" spans="1:20" ht="12.75">
      <c r="A236" s="46" t="s">
        <v>616</v>
      </c>
      <c r="D236" s="97"/>
      <c r="E236" s="95"/>
      <c r="F236" s="172"/>
      <c r="G236" s="172"/>
      <c r="H236" s="172"/>
      <c r="I236" s="172"/>
      <c r="J236" s="17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</row>
    <row r="237" spans="1:20" ht="12.75">
      <c r="A237" s="47" t="s">
        <v>203</v>
      </c>
      <c r="D237" s="97"/>
      <c r="E237" s="95">
        <f>AVERAGE(Popn!E$198:E$200)</f>
        <v>0.01050387508174703</v>
      </c>
      <c r="F237" s="172">
        <f>AVERAGE(Popn!F$198:F$200)</f>
        <v>0.012720284478042188</v>
      </c>
      <c r="G237" s="172">
        <f>AVERAGE(Popn!G$198:G$200)</f>
        <v>0.013485052978060316</v>
      </c>
      <c r="H237" s="172">
        <f>AVERAGE(Popn!H$198:H$200)</f>
        <v>0.0093130984629863</v>
      </c>
      <c r="I237" s="172">
        <f>AVERAGE(Popn!I$198:I$200)</f>
        <v>0.0056200604403700005</v>
      </c>
      <c r="J237" s="172">
        <f>AVERAGE(Popn!J$198:J$200)</f>
        <v>0.000978146497518743</v>
      </c>
      <c r="K237" s="192">
        <f>AVERAGE(Popn!K$198:K$200)</f>
        <v>-0.000967691628689297</v>
      </c>
      <c r="L237" s="192">
        <f>AVERAGE(Popn!L$198:L$200)</f>
        <v>-0.0033895035380165175</v>
      </c>
      <c r="M237" s="192">
        <f>AVERAGE(Popn!M$198:M$200)</f>
        <v>-0.004637093281160761</v>
      </c>
      <c r="N237" s="192">
        <f>AVERAGE(Popn!N$198:N$200)</f>
        <v>-0.0035997218695373125</v>
      </c>
      <c r="O237" s="192">
        <f>AVERAGE(Popn!O$198:O$200)</f>
        <v>-0.0023690122496350754</v>
      </c>
      <c r="P237" s="192">
        <f>AVERAGE(Popn!P$198:P$200)</f>
        <v>-0.0017524527717181309</v>
      </c>
      <c r="Q237" s="192">
        <f>AVERAGE(Popn!Q$198:Q$200)</f>
        <v>-0.002486971882739016</v>
      </c>
      <c r="R237" s="192">
        <f>AVERAGE(Popn!R$198:R$200)</f>
        <v>-0.001572668010323815</v>
      </c>
      <c r="S237" s="192">
        <f>AVERAGE(Popn!S$198:S$200)</f>
        <v>0.00029901317069969124</v>
      </c>
      <c r="T237" s="192">
        <f>AVERAGE(Popn!T$198:T$200)</f>
        <v>0.00011399647173615524</v>
      </c>
    </row>
    <row r="238" spans="1:20" ht="12.75">
      <c r="A238" s="47" t="s">
        <v>263</v>
      </c>
      <c r="D238" s="97"/>
      <c r="E238" s="95">
        <f aca="true" t="shared" si="125" ref="E238:T238">E$206</f>
        <v>0.04019607843137263</v>
      </c>
      <c r="F238" s="172">
        <f t="shared" si="125"/>
        <v>0.018755890669180042</v>
      </c>
      <c r="G238" s="172">
        <f t="shared" si="125"/>
        <v>0.025206772134332533</v>
      </c>
      <c r="H238" s="172">
        <f t="shared" si="125"/>
        <v>0.01301723780079489</v>
      </c>
      <c r="I238" s="172">
        <f t="shared" si="125"/>
        <v>0.012171167792504933</v>
      </c>
      <c r="J238" s="172">
        <f t="shared" si="125"/>
        <v>0.017051945285918357</v>
      </c>
      <c r="K238" s="192">
        <f t="shared" si="125"/>
        <v>0.01905194528591836</v>
      </c>
      <c r="L238" s="192">
        <f t="shared" si="125"/>
        <v>0.02</v>
      </c>
      <c r="M238" s="192">
        <f t="shared" si="125"/>
        <v>0.02</v>
      </c>
      <c r="N238" s="192">
        <f t="shared" si="125"/>
        <v>0.02</v>
      </c>
      <c r="O238" s="192">
        <f t="shared" si="125"/>
        <v>0.02</v>
      </c>
      <c r="P238" s="192">
        <f t="shared" si="125"/>
        <v>0.02</v>
      </c>
      <c r="Q238" s="192">
        <f t="shared" si="125"/>
        <v>0.02</v>
      </c>
      <c r="R238" s="192">
        <f t="shared" si="125"/>
        <v>0.02</v>
      </c>
      <c r="S238" s="192">
        <f t="shared" si="125"/>
        <v>0.02</v>
      </c>
      <c r="T238" s="192">
        <f t="shared" si="125"/>
        <v>0.02</v>
      </c>
    </row>
    <row r="239" spans="1:20" ht="12.75">
      <c r="A239" s="47" t="s">
        <v>153</v>
      </c>
      <c r="D239" s="97"/>
      <c r="E239" s="317">
        <f aca="true" t="shared" si="126" ref="E239:T239">E$90/D$90-(1+E$237+E$238)</f>
        <v>-0.02027595955476391</v>
      </c>
      <c r="F239" s="193">
        <f t="shared" si="126"/>
        <v>0.116466448661803</v>
      </c>
      <c r="G239" s="193">
        <f t="shared" si="126"/>
        <v>-0.009505396801557486</v>
      </c>
      <c r="H239" s="193">
        <f t="shared" si="126"/>
        <v>-0.020557915136521387</v>
      </c>
      <c r="I239" s="193">
        <f t="shared" si="126"/>
        <v>-0.017171978409803446</v>
      </c>
      <c r="J239" s="193">
        <f t="shared" si="126"/>
        <v>-0.01617349201330165</v>
      </c>
      <c r="K239" s="194">
        <f t="shared" si="126"/>
        <v>-0.019051945285918137</v>
      </c>
      <c r="L239" s="194">
        <f t="shared" si="126"/>
        <v>-0.02000000000000013</v>
      </c>
      <c r="M239" s="194">
        <f t="shared" si="126"/>
        <v>-0.02000000000000013</v>
      </c>
      <c r="N239" s="194">
        <f t="shared" si="126"/>
        <v>-0.020000000000000018</v>
      </c>
      <c r="O239" s="194">
        <f t="shared" si="126"/>
        <v>-0.019999999999999796</v>
      </c>
      <c r="P239" s="194">
        <f t="shared" si="126"/>
        <v>-0.020000000000000018</v>
      </c>
      <c r="Q239" s="194">
        <f t="shared" si="126"/>
        <v>-0.019999999999999907</v>
      </c>
      <c r="R239" s="194">
        <f t="shared" si="126"/>
        <v>-0.020000000000000018</v>
      </c>
      <c r="S239" s="194">
        <f t="shared" si="126"/>
        <v>-0.020000000000000018</v>
      </c>
      <c r="T239" s="194">
        <f t="shared" si="126"/>
        <v>-0.020000000000000018</v>
      </c>
    </row>
    <row r="240" spans="1:20" ht="12.75">
      <c r="A240" s="107" t="s">
        <v>205</v>
      </c>
      <c r="D240" s="97"/>
      <c r="E240" s="318">
        <f aca="true" t="shared" si="127" ref="E240:T240">E$90/D$90-1</f>
        <v>0.03042399395835571</v>
      </c>
      <c r="F240" s="166">
        <f t="shared" si="127"/>
        <v>0.14794262380902534</v>
      </c>
      <c r="G240" s="166">
        <f t="shared" si="127"/>
        <v>0.0291864283108354</v>
      </c>
      <c r="H240" s="166">
        <f t="shared" si="127"/>
        <v>0.0017724211272598378</v>
      </c>
      <c r="I240" s="166">
        <f t="shared" si="127"/>
        <v>0.0006192498230714882</v>
      </c>
      <c r="J240" s="166">
        <f t="shared" si="127"/>
        <v>0.0018565997701354142</v>
      </c>
      <c r="K240" s="165">
        <f t="shared" si="127"/>
        <v>-0.000967691628689149</v>
      </c>
      <c r="L240" s="165">
        <f t="shared" si="127"/>
        <v>-0.0033895035380165917</v>
      </c>
      <c r="M240" s="165">
        <f t="shared" si="127"/>
        <v>-0.004637093281160909</v>
      </c>
      <c r="N240" s="165">
        <f t="shared" si="127"/>
        <v>-0.0035997218695373867</v>
      </c>
      <c r="O240" s="165">
        <f t="shared" si="127"/>
        <v>-0.0023690122496349275</v>
      </c>
      <c r="P240" s="165">
        <f t="shared" si="127"/>
        <v>-0.0017524527717180938</v>
      </c>
      <c r="Q240" s="165">
        <f t="shared" si="127"/>
        <v>-0.002486971882739053</v>
      </c>
      <c r="R240" s="165">
        <f t="shared" si="127"/>
        <v>-0.0015726680103238522</v>
      </c>
      <c r="S240" s="165">
        <f t="shared" si="127"/>
        <v>0.00029901317069969124</v>
      </c>
      <c r="T240" s="165">
        <f t="shared" si="127"/>
        <v>0.00011399647173604421</v>
      </c>
    </row>
    <row r="241" spans="1:20" ht="12.75">
      <c r="A241" s="46" t="s">
        <v>215</v>
      </c>
      <c r="D241" s="97"/>
      <c r="E241" s="95"/>
      <c r="F241" s="172"/>
      <c r="G241" s="172"/>
      <c r="H241" s="172"/>
      <c r="I241" s="172"/>
      <c r="J241" s="17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</row>
    <row r="242" spans="1:20" ht="12.75">
      <c r="A242" s="47" t="s">
        <v>263</v>
      </c>
      <c r="D242" s="97"/>
      <c r="E242" s="95">
        <f aca="true" t="shared" si="128" ref="E242:T242">E$206</f>
        <v>0.04019607843137263</v>
      </c>
      <c r="F242" s="172">
        <f t="shared" si="128"/>
        <v>0.018755890669180042</v>
      </c>
      <c r="G242" s="172">
        <f t="shared" si="128"/>
        <v>0.025206772134332533</v>
      </c>
      <c r="H242" s="172">
        <f t="shared" si="128"/>
        <v>0.01301723780079489</v>
      </c>
      <c r="I242" s="172">
        <f t="shared" si="128"/>
        <v>0.012171167792504933</v>
      </c>
      <c r="J242" s="172">
        <f t="shared" si="128"/>
        <v>0.017051945285918357</v>
      </c>
      <c r="K242" s="192">
        <f t="shared" si="128"/>
        <v>0.01905194528591836</v>
      </c>
      <c r="L242" s="192">
        <f t="shared" si="128"/>
        <v>0.02</v>
      </c>
      <c r="M242" s="192">
        <f t="shared" si="128"/>
        <v>0.02</v>
      </c>
      <c r="N242" s="192">
        <f t="shared" si="128"/>
        <v>0.02</v>
      </c>
      <c r="O242" s="192">
        <f t="shared" si="128"/>
        <v>0.02</v>
      </c>
      <c r="P242" s="192">
        <f t="shared" si="128"/>
        <v>0.02</v>
      </c>
      <c r="Q242" s="192">
        <f t="shared" si="128"/>
        <v>0.02</v>
      </c>
      <c r="R242" s="192">
        <f t="shared" si="128"/>
        <v>0.02</v>
      </c>
      <c r="S242" s="192">
        <f t="shared" si="128"/>
        <v>0.02</v>
      </c>
      <c r="T242" s="192">
        <f t="shared" si="128"/>
        <v>0.02</v>
      </c>
    </row>
    <row r="243" spans="1:20" ht="12.75">
      <c r="A243" s="47" t="s">
        <v>513</v>
      </c>
      <c r="D243" s="97"/>
      <c r="E243" s="317">
        <f aca="true" t="shared" si="129" ref="E243:T243">E$102/D$102-(1+E$242)</f>
        <v>-0.00551475399739787</v>
      </c>
      <c r="F243" s="193">
        <f t="shared" si="129"/>
        <v>0.05776826819750336</v>
      </c>
      <c r="G243" s="193">
        <f t="shared" si="129"/>
        <v>-0.041891063051968436</v>
      </c>
      <c r="H243" s="193">
        <f t="shared" si="129"/>
        <v>-0.04378554942703461</v>
      </c>
      <c r="I243" s="193">
        <f t="shared" si="129"/>
        <v>0.014704255988546633</v>
      </c>
      <c r="J243" s="193">
        <f t="shared" si="129"/>
        <v>0.019024649947889438</v>
      </c>
      <c r="K243" s="194">
        <f t="shared" si="129"/>
        <v>-0.03140444751475868</v>
      </c>
      <c r="L243" s="194">
        <f t="shared" si="129"/>
        <v>-0.010283496176175078</v>
      </c>
      <c r="M243" s="194">
        <f t="shared" si="129"/>
        <v>-0.010276836594360628</v>
      </c>
      <c r="N243" s="194">
        <f t="shared" si="129"/>
        <v>-0.011483060307965864</v>
      </c>
      <c r="O243" s="194">
        <f t="shared" si="129"/>
        <v>-0.011232195270594492</v>
      </c>
      <c r="P243" s="194">
        <f t="shared" si="129"/>
        <v>-0.016762099516166806</v>
      </c>
      <c r="Q243" s="194">
        <f t="shared" si="129"/>
        <v>-0.017211793122530405</v>
      </c>
      <c r="R243" s="194">
        <f t="shared" si="129"/>
        <v>-0.03070544710298151</v>
      </c>
      <c r="S243" s="194">
        <f t="shared" si="129"/>
        <v>-0.015701815892861015</v>
      </c>
      <c r="T243" s="194">
        <f t="shared" si="129"/>
        <v>-0.015329136498671403</v>
      </c>
    </row>
    <row r="244" spans="1:20" ht="12.75">
      <c r="A244" s="107" t="s">
        <v>205</v>
      </c>
      <c r="D244" s="97"/>
      <c r="E244" s="318">
        <f aca="true" t="shared" si="130" ref="E244:T244">E$102/D$102-1</f>
        <v>0.03468132443397476</v>
      </c>
      <c r="F244" s="166">
        <f t="shared" si="130"/>
        <v>0.0765241588666834</v>
      </c>
      <c r="G244" s="166">
        <f t="shared" si="130"/>
        <v>-0.016684290917635902</v>
      </c>
      <c r="H244" s="166">
        <f t="shared" si="130"/>
        <v>-0.03076831162623972</v>
      </c>
      <c r="I244" s="166">
        <f t="shared" si="130"/>
        <v>0.026875423781051566</v>
      </c>
      <c r="J244" s="166">
        <f t="shared" si="130"/>
        <v>0.036076595233807796</v>
      </c>
      <c r="K244" s="165">
        <f t="shared" si="130"/>
        <v>-0.012352502228840323</v>
      </c>
      <c r="L244" s="165">
        <f t="shared" si="130"/>
        <v>0.00971650382382494</v>
      </c>
      <c r="M244" s="165">
        <f t="shared" si="130"/>
        <v>0.00972316340563939</v>
      </c>
      <c r="N244" s="165">
        <f t="shared" si="130"/>
        <v>0.008516939692034153</v>
      </c>
      <c r="O244" s="165">
        <f t="shared" si="130"/>
        <v>0.008767804729405526</v>
      </c>
      <c r="P244" s="165">
        <f t="shared" si="130"/>
        <v>0.0032379004838332115</v>
      </c>
      <c r="Q244" s="165">
        <f t="shared" si="130"/>
        <v>0.0027882068774696123</v>
      </c>
      <c r="R244" s="165">
        <f t="shared" si="130"/>
        <v>-0.010705447102981491</v>
      </c>
      <c r="S244" s="165">
        <f t="shared" si="130"/>
        <v>0.0042981841071390026</v>
      </c>
      <c r="T244" s="165">
        <f t="shared" si="130"/>
        <v>0.004670863501328615</v>
      </c>
    </row>
    <row r="246" ht="12.75">
      <c r="A246" s="46" t="s">
        <v>619</v>
      </c>
    </row>
    <row r="247" spans="1:10" ht="12.75">
      <c r="A247" s="47" t="s">
        <v>620</v>
      </c>
      <c r="D247" s="274" t="str">
        <f>IF(D$4&lt;=ReadyReckoner!$F$1,"History",D$4-ReadyReckoner!$F$1+1)</f>
        <v>History</v>
      </c>
      <c r="E247" s="274" t="str">
        <f>IF(E$4&lt;=ReadyReckoner!$F$1,"History",E$4-ReadyReckoner!$F$1+1)</f>
        <v>History</v>
      </c>
      <c r="F247" s="275">
        <f>IF(F$4&lt;=ReadyReckoner!$F$1,"History",F$4-ReadyReckoner!$F$1+1)</f>
        <v>2</v>
      </c>
      <c r="G247" s="275">
        <f>IF(G$4&lt;=ReadyReckoner!$F$1,"History",G$4-ReadyReckoner!$F$1+1)</f>
        <v>3</v>
      </c>
      <c r="H247" s="275">
        <f>IF(H$4&lt;=ReadyReckoner!$F$1,"History",H$4-ReadyReckoner!$F$1+1)</f>
        <v>4</v>
      </c>
      <c r="I247" s="275">
        <f>IF(I$4&lt;=ReadyReckoner!$F$1,"History",I$4-ReadyReckoner!$F$1+1)</f>
        <v>5</v>
      </c>
      <c r="J247" s="275">
        <f>IF(J$4&lt;=ReadyReckoner!$F$1,"History",J$4-ReadyReckoner!$F$1+1)</f>
        <v>6</v>
      </c>
    </row>
    <row r="248" ht="12.75">
      <c r="A248" s="46" t="s">
        <v>426</v>
      </c>
    </row>
    <row r="249" spans="1:10" ht="12.75">
      <c r="A249" s="47" t="s">
        <v>844</v>
      </c>
      <c r="F249" s="57">
        <f ca="1">IF($I$1="Yes",OFFSET(ReadyReckoner!$A$9,0,F$247)/1000,0)</f>
        <v>0</v>
      </c>
      <c r="G249" s="57">
        <f ca="1">IF($I$1="Yes",OFFSET(ReadyReckoner!$A$9,0,G$247)/1000,0)</f>
        <v>0</v>
      </c>
      <c r="H249" s="57">
        <f ca="1">IF($I$1="Yes",OFFSET(ReadyReckoner!$A$9,0,H$247)/1000,0)</f>
        <v>0</v>
      </c>
      <c r="I249" s="57">
        <f ca="1">IF($I$1="Yes",OFFSET(ReadyReckoner!$A$9,0,I$247)/1000,0)</f>
        <v>0</v>
      </c>
      <c r="J249" s="57">
        <f ca="1">IF($I$1="Yes",OFFSET(ReadyReckoner!$A$9,0,J$247)/1000,0)</f>
        <v>0</v>
      </c>
    </row>
    <row r="250" spans="1:10" ht="12.75">
      <c r="A250" s="47" t="s">
        <v>845</v>
      </c>
      <c r="F250" s="57">
        <f ca="1">IF($I$1="Yes",OFFSET(ReadyReckoner!$A$10,0,F$247)/1000,0)</f>
        <v>0</v>
      </c>
      <c r="G250" s="57">
        <f ca="1">IF($I$1="Yes",OFFSET(ReadyReckoner!$A$10,0,G$247)/1000,0)</f>
        <v>0</v>
      </c>
      <c r="H250" s="57">
        <f ca="1">IF($I$1="Yes",OFFSET(ReadyReckoner!$A$10,0,H$247)/1000,0)</f>
        <v>0</v>
      </c>
      <c r="I250" s="57">
        <f ca="1">IF($I$1="Yes",OFFSET(ReadyReckoner!$A$10,0,I$247)/1000,0)</f>
        <v>0</v>
      </c>
      <c r="J250" s="57">
        <f ca="1">IF($I$1="Yes",OFFSET(ReadyReckoner!$A$10,0,J$247)/1000,0)</f>
        <v>0</v>
      </c>
    </row>
    <row r="251" spans="1:10" ht="12.75">
      <c r="A251" s="47" t="s">
        <v>846</v>
      </c>
      <c r="F251" s="57">
        <f ca="1">IF($I$1="Yes",OFFSET(ReadyReckoner!$A$11,0,F$247)/1000,0)</f>
        <v>0</v>
      </c>
      <c r="G251" s="57">
        <f ca="1">IF($I$1="Yes",OFFSET(ReadyReckoner!$A$11,0,G$247)/1000,0)</f>
        <v>0</v>
      </c>
      <c r="H251" s="57">
        <f ca="1">IF($I$1="Yes",OFFSET(ReadyReckoner!$A$11,0,H$247)/1000,0)</f>
        <v>0</v>
      </c>
      <c r="I251" s="57">
        <f ca="1">IF($I$1="Yes",OFFSET(ReadyReckoner!$A$11,0,I$247)/1000,0)</f>
        <v>0</v>
      </c>
      <c r="J251" s="57">
        <f ca="1">IF($I$1="Yes",OFFSET(ReadyReckoner!$A$11,0,J$247)/1000,0)</f>
        <v>0</v>
      </c>
    </row>
    <row r="252" spans="1:10" ht="12.75">
      <c r="A252" s="47" t="s">
        <v>621</v>
      </c>
      <c r="F252" s="57">
        <f>IF($I$1="Yes",F$207*SUM(E$260,F$260)/2,0)</f>
        <v>0</v>
      </c>
      <c r="G252" s="57">
        <f>IF($I$1="Yes",G$207*SUM(F$260,G$260)/2,0)</f>
        <v>0</v>
      </c>
      <c r="H252" s="57">
        <f>IF($I$1="Yes",H$207*SUM(G$260,H$260)/2,0)</f>
        <v>0</v>
      </c>
      <c r="I252" s="57">
        <f>IF($I$1="Yes",I$207*SUM(H$260,I$260)/2,0)</f>
        <v>0</v>
      </c>
      <c r="J252" s="57">
        <f>IF($I$1="Yes",J$207*SUM(I$260,J$260)/2,0)</f>
        <v>0</v>
      </c>
    </row>
    <row r="253" spans="1:10" ht="12.75">
      <c r="A253" s="47" t="s">
        <v>858</v>
      </c>
      <c r="F253" s="57">
        <f ca="1">IF($I$1="Yes",OFFSET(ReadyReckoner!$A$12,0,F$247)/1000,0)</f>
        <v>0</v>
      </c>
      <c r="G253" s="57">
        <f ca="1">IF($I$1="Yes",OFFSET(ReadyReckoner!$A$12,0,G$247)/1000,0)</f>
        <v>0</v>
      </c>
      <c r="H253" s="57">
        <f ca="1">IF($I$1="Yes",OFFSET(ReadyReckoner!$A$12,0,H$247)/1000,0)</f>
        <v>0</v>
      </c>
      <c r="I253" s="57">
        <f ca="1">IF($I$1="Yes",OFFSET(ReadyReckoner!$A$12,0,I$247)/1000,0)</f>
        <v>0</v>
      </c>
      <c r="J253" s="57">
        <f ca="1">IF($I$1="Yes",OFFSET(ReadyReckoner!$A$12,0,J$247)/1000,0)</f>
        <v>0</v>
      </c>
    </row>
    <row r="254" spans="1:10" ht="12.75">
      <c r="A254" s="47" t="s">
        <v>859</v>
      </c>
      <c r="F254" s="57">
        <f ca="1">IF($I$1="Yes",OFFSET(ReadyReckoner!$A$14,0,F$247)/1000,0)</f>
        <v>0</v>
      </c>
      <c r="G254" s="57">
        <f ca="1">IF($I$1="Yes",OFFSET(ReadyReckoner!$A$14,0,G$247)/1000,0)</f>
        <v>0</v>
      </c>
      <c r="H254" s="57">
        <f ca="1">IF($I$1="Yes",OFFSET(ReadyReckoner!$A$14,0,H$247)/1000,0)</f>
        <v>0</v>
      </c>
      <c r="I254" s="57">
        <f ca="1">IF($I$1="Yes",OFFSET(ReadyReckoner!$A$14,0,I$247)/1000,0)</f>
        <v>0</v>
      </c>
      <c r="J254" s="57">
        <f ca="1">IF($I$1="Yes",OFFSET(ReadyReckoner!$A$14,0,J$247)/1000,0)</f>
        <v>0</v>
      </c>
    </row>
    <row r="255" spans="1:10" ht="12.75">
      <c r="A255" s="47" t="s">
        <v>622</v>
      </c>
      <c r="F255" s="57">
        <f ca="1">IF($I$1="Yes",SUM(OFFSET(ReadyReckoner!$A$16,0,F$247)/1000,E$255),0)</f>
        <v>0</v>
      </c>
      <c r="G255" s="57">
        <f ca="1">IF($I$1="Yes",SUM(OFFSET(ReadyReckoner!$A$16,0,G$247)/1000,F$255),0)</f>
        <v>0</v>
      </c>
      <c r="H255" s="57">
        <f ca="1">IF($I$1="Yes",SUM(OFFSET(ReadyReckoner!$A$16,0,H$247)/1000,G$255),0)</f>
        <v>0</v>
      </c>
      <c r="I255" s="57">
        <f ca="1">IF($I$1="Yes",SUM(OFFSET(ReadyReckoner!$A$16,0,I$247)/1000,H$255),0)</f>
        <v>0</v>
      </c>
      <c r="J255" s="57">
        <f ca="1">IF($I$1="Yes",SUM(OFFSET(ReadyReckoner!$A$16,0,J$247)/1000,I$255),0)</f>
        <v>0</v>
      </c>
    </row>
    <row r="256" spans="1:10" ht="12.75">
      <c r="A256" s="47" t="s">
        <v>911</v>
      </c>
      <c r="F256" s="57">
        <f>F$207*F$264/2</f>
        <v>0</v>
      </c>
      <c r="G256" s="57">
        <f>G$207*G$264/2</f>
        <v>0</v>
      </c>
      <c r="H256" s="57">
        <f>H$207*H$264/2</f>
        <v>0</v>
      </c>
      <c r="I256" s="57">
        <f>I$207*I$264/2</f>
        <v>0</v>
      </c>
      <c r="J256" s="57">
        <f>J$207*J$264/2</f>
        <v>0</v>
      </c>
    </row>
    <row r="257" spans="1:10" ht="12.75">
      <c r="A257" s="47" t="s">
        <v>912</v>
      </c>
      <c r="F257" s="57">
        <f>F$207*F$256/2</f>
        <v>0</v>
      </c>
      <c r="G257" s="57">
        <f>G$207*G$256/2</f>
        <v>0</v>
      </c>
      <c r="H257" s="57">
        <f>H$207*H$256/2</f>
        <v>0</v>
      </c>
      <c r="I257" s="57">
        <f>I$207*I$256/2</f>
        <v>0</v>
      </c>
      <c r="J257" s="57">
        <f>J$207*J$256/2</f>
        <v>0</v>
      </c>
    </row>
    <row r="258" spans="1:10" ht="12.75">
      <c r="A258" s="47" t="s">
        <v>913</v>
      </c>
      <c r="F258" s="57">
        <f>F$207*SUM($E$265:E$265)</f>
        <v>0</v>
      </c>
      <c r="G258" s="57">
        <f>G$207*SUM($E$265:F$265)</f>
        <v>0</v>
      </c>
      <c r="H258" s="57">
        <f>H$207*SUM($E$265:G$265)</f>
        <v>0</v>
      </c>
      <c r="I258" s="57">
        <f>I$207*SUM($E$265:H$265)</f>
        <v>0</v>
      </c>
      <c r="J258" s="57">
        <f>J$207*SUM($E$265:I$265)</f>
        <v>0</v>
      </c>
    </row>
    <row r="259" spans="1:10" ht="12.75">
      <c r="A259" s="272" t="s">
        <v>847</v>
      </c>
      <c r="F259" s="63">
        <f>SUM(F$249:F$252)-SUM(F$253:F$258)</f>
        <v>0</v>
      </c>
      <c r="G259" s="63">
        <f>SUM(G$249:G$252)-SUM(G$253:G$258)</f>
        <v>0</v>
      </c>
      <c r="H259" s="63">
        <f>SUM(H$249:H$252)-SUM(H$253:H$258)</f>
        <v>0</v>
      </c>
      <c r="I259" s="63">
        <f>SUM(I$249:I$252)-SUM(I$253:I$258)</f>
        <v>0</v>
      </c>
      <c r="J259" s="63">
        <f>SUM(J$249:J$252)-SUM(J$253:J$258)</f>
        <v>0</v>
      </c>
    </row>
    <row r="260" spans="1:10" ht="12.75">
      <c r="A260" s="47" t="s">
        <v>624</v>
      </c>
      <c r="F260" s="57">
        <f ca="1">IF($I$1="Yes",SUM(OFFSET(ReadyReckoner!$A$18,0,F$247)/1000,E$260),0)</f>
        <v>0</v>
      </c>
      <c r="G260" s="57">
        <f ca="1">IF($I$1="Yes",SUM(OFFSET(ReadyReckoner!$A$18,0,G$247)/1000,F$260),0)</f>
        <v>0</v>
      </c>
      <c r="H260" s="57">
        <f ca="1">IF($I$1="Yes",SUM(OFFSET(ReadyReckoner!$A$18,0,H$247)/1000,G$260),0)</f>
        <v>0</v>
      </c>
      <c r="I260" s="57">
        <f ca="1">IF($I$1="Yes",SUM(OFFSET(ReadyReckoner!$A$18,0,I$247)/1000,H$260),0)</f>
        <v>0</v>
      </c>
      <c r="J260" s="57">
        <f ca="1">IF($I$1="Yes",SUM(OFFSET(ReadyReckoner!$A$18,0,J$247)/1000,I$260),0)</f>
        <v>0</v>
      </c>
    </row>
    <row r="261" spans="1:10" ht="12.75">
      <c r="A261" s="47" t="s">
        <v>625</v>
      </c>
      <c r="F261" s="57">
        <f ca="1">IF($I$1="Yes",SUM(OFFSET(ReadyReckoner!$A$19,0,F$247)/1000,E$261),0)</f>
        <v>0</v>
      </c>
      <c r="G261" s="57">
        <f ca="1">IF($I$1="Yes",SUM(OFFSET(ReadyReckoner!$A$19,0,G$247)/1000,F$261),0)</f>
        <v>0</v>
      </c>
      <c r="H261" s="57">
        <f ca="1">IF($I$1="Yes",SUM(OFFSET(ReadyReckoner!$A$19,0,H$247)/1000,G$261),0)</f>
        <v>0</v>
      </c>
      <c r="I261" s="57">
        <f ca="1">IF($I$1="Yes",SUM(OFFSET(ReadyReckoner!$A$19,0,I$247)/1000,H$261),0)</f>
        <v>0</v>
      </c>
      <c r="J261" s="57">
        <f ca="1">IF($I$1="Yes",SUM(OFFSET(ReadyReckoner!$A$19,0,J$247)/1000,I$261),0)</f>
        <v>0</v>
      </c>
    </row>
    <row r="262" spans="1:10" ht="12.75">
      <c r="A262" s="47" t="s">
        <v>626</v>
      </c>
      <c r="F262" s="57">
        <f ca="1">IF($I$1="Yes",SUM(OFFSET(ReadyReckoner!$A$20,0,F$247)/1000,E$262),0)</f>
        <v>0</v>
      </c>
      <c r="G262" s="57">
        <f ca="1">IF($I$1="Yes",SUM(OFFSET(ReadyReckoner!$A$20,0,G$247)/1000,F$262),0)</f>
        <v>0</v>
      </c>
      <c r="H262" s="57">
        <f ca="1">IF($I$1="Yes",SUM(OFFSET(ReadyReckoner!$A$20,0,H$247)/1000,G$262),0)</f>
        <v>0</v>
      </c>
      <c r="I262" s="57">
        <f ca="1">IF($I$1="Yes",SUM(OFFSET(ReadyReckoner!$A$20,0,I$247)/1000,H$262),0)</f>
        <v>0</v>
      </c>
      <c r="J262" s="57">
        <f ca="1">IF($I$1="Yes",SUM(OFFSET(ReadyReckoner!$A$20,0,J$247)/1000,I$262),0)</f>
        <v>0</v>
      </c>
    </row>
    <row r="263" spans="1:10" ht="12.75">
      <c r="A263" s="272" t="s">
        <v>0</v>
      </c>
      <c r="F263" s="63">
        <f>SUM(F$260,F$261)-SUM(F$262,F$266)</f>
        <v>0</v>
      </c>
      <c r="G263" s="63">
        <f>SUM(G$260,G$261)-SUM(G$262,G$266)</f>
        <v>0</v>
      </c>
      <c r="H263" s="63">
        <f>SUM(H$260,H$261)-SUM(H$262,H$266)</f>
        <v>0</v>
      </c>
      <c r="I263" s="63">
        <f>SUM(I$260,I$261)-SUM(I$262,I$266)</f>
        <v>0</v>
      </c>
      <c r="J263" s="63">
        <f>SUM(J$260,J$261)-SUM(J$262,J$266)</f>
        <v>0</v>
      </c>
    </row>
    <row r="264" spans="1:10" ht="12.75">
      <c r="A264" s="47" t="s">
        <v>848</v>
      </c>
      <c r="F264" s="357">
        <f>SUM(F$260,F$261)-SUM(E$260,E$261)-(F$262-E$262)-(SUM(F$249:F$252)-SUM(F$253:F$255))</f>
        <v>0</v>
      </c>
      <c r="G264" s="357">
        <f>SUM(G$260,G$261)-SUM(F$260,F$261)-(G$262-F$262)-(SUM(G$249:G$252)-SUM(G$253:G$255))</f>
        <v>0</v>
      </c>
      <c r="H264" s="357">
        <f>SUM(H$260,H$261)-SUM(G$260,G$261)-(H$262-G$262)-(SUM(H$249:H$252)-SUM(H$253:H$255))</f>
        <v>0</v>
      </c>
      <c r="I264" s="357">
        <f>SUM(I$260,I$261)-SUM(H$260,H$261)-(I$262-H$262)-(SUM(I$249:I$252)-SUM(I$253:I$255))</f>
        <v>0</v>
      </c>
      <c r="J264" s="357">
        <f>SUM(J$260,J$261)-SUM(I$260,I$261)-(J$262-I$262)-(SUM(J$249:J$252)-SUM(J$253:J$255))</f>
        <v>0</v>
      </c>
    </row>
    <row r="265" spans="1:10" ht="12.75">
      <c r="A265" s="47" t="s">
        <v>623</v>
      </c>
      <c r="F265" s="357">
        <f>SUM(F$264,F$256:F$258)</f>
        <v>0</v>
      </c>
      <c r="G265" s="357">
        <f>SUM(G$264,G$256:G$258)</f>
        <v>0</v>
      </c>
      <c r="H265" s="357">
        <f>SUM(H$264,H$256:H$258)</f>
        <v>0</v>
      </c>
      <c r="I265" s="357">
        <f>SUM(I$264,I$256:I$258)</f>
        <v>0</v>
      </c>
      <c r="J265" s="357">
        <f>SUM(J$264,J$256:J$258)</f>
        <v>0</v>
      </c>
    </row>
    <row r="266" spans="1:10" ht="12.75">
      <c r="A266" s="272" t="s">
        <v>849</v>
      </c>
      <c r="F266" s="63">
        <f>SUM($E$265:F$265)</f>
        <v>0</v>
      </c>
      <c r="G266" s="63">
        <f>SUM($E$265:G$265)</f>
        <v>0</v>
      </c>
      <c r="H266" s="63">
        <f>SUM($E$265:H$265)</f>
        <v>0</v>
      </c>
      <c r="I266" s="63">
        <f>SUM($E$265:I$265)</f>
        <v>0</v>
      </c>
      <c r="J266" s="63">
        <f>SUM($E$265:J$265)</f>
        <v>0</v>
      </c>
    </row>
    <row r="267" spans="1:10" ht="12.75">
      <c r="A267" s="272" t="s">
        <v>869</v>
      </c>
      <c r="F267" s="63">
        <f>F$266-F$260</f>
        <v>0</v>
      </c>
      <c r="G267" s="63">
        <f>G$266-G$260</f>
        <v>0</v>
      </c>
      <c r="H267" s="63">
        <f>H$266-H$260</f>
        <v>0</v>
      </c>
      <c r="I267" s="63">
        <f>I$266-I$260</f>
        <v>0</v>
      </c>
      <c r="J267" s="63">
        <f>J$266-J$260</f>
        <v>0</v>
      </c>
    </row>
    <row r="268" ht="12.75">
      <c r="A268" s="46" t="s">
        <v>264</v>
      </c>
    </row>
    <row r="269" spans="1:10" ht="12.75">
      <c r="A269" s="47" t="s">
        <v>1</v>
      </c>
      <c r="F269" s="57">
        <f ca="1">IF($F$1="Yes",SUM(SUM(Data!E$120:E$127)*(OFFSET(ReadyReckoner!$A$43,0,F$247)-1),SUM(Data!E$96,Data!E$97,Data!E$99)*(OFFSET(ReadyReckoner!$A$45,0,F$247)-1),Data!E$98*(OFFSET(ReadyReckoner!$A$46,0,F$247)-1)),0)</f>
        <v>0</v>
      </c>
      <c r="G269" s="57">
        <f ca="1">IF($F$1="Yes",SUM(SUM(Data!F$120:F$127)*(OFFSET(ReadyReckoner!$A$43,0,G$247)-1),SUM(Data!F$96,Data!F$97,Data!F$99)*(OFFSET(ReadyReckoner!$A$45,0,G$247)-1),Data!F$98*(OFFSET(ReadyReckoner!$A$46,0,G$247)-1)),0)</f>
        <v>0</v>
      </c>
      <c r="H269" s="57">
        <f ca="1">IF($F$1="Yes",SUM(SUM(Data!G$120:G$127)*(OFFSET(ReadyReckoner!$A$43,0,H$247)-1),SUM(Data!G$96,Data!G$97,Data!G$99)*(OFFSET(ReadyReckoner!$A$45,0,H$247)-1),Data!G$98*(OFFSET(ReadyReckoner!$A$46,0,H$247)-1)),0)</f>
        <v>0</v>
      </c>
      <c r="I269" s="57">
        <f ca="1">IF($F$1="Yes",SUM(SUM(Data!H$120:H$127)*(OFFSET(ReadyReckoner!$A$43,0,I$247)-1),SUM(Data!H$96,Data!H$97,Data!H$99)*(OFFSET(ReadyReckoner!$A$45,0,I$247)-1),Data!H$98*(OFFSET(ReadyReckoner!$A$46,0,I$247)-1)),0)</f>
        <v>0</v>
      </c>
      <c r="J269" s="57">
        <f ca="1">IF($F$1="Yes",SUM(SUM(Data!I$120:I$127)*(OFFSET(ReadyReckoner!$A$43,0,J$247)-1),SUM(Data!I$96,Data!I$97,Data!I$99)*(OFFSET(ReadyReckoner!$A$45,0,J$247)-1),Data!I$98*(OFFSET(ReadyReckoner!$A$46,0,J$247)-1)),0)</f>
        <v>0</v>
      </c>
    </row>
    <row r="270" spans="1:10" ht="12.75">
      <c r="A270" s="47" t="s">
        <v>122</v>
      </c>
      <c r="F270" s="57">
        <f ca="1">IF($F$1="Yes",SUM((Data!E$37-SUM(Data!E$135,Data!E$137))*(OFFSET(ReadyReckoner!$A$45,0,F$247)-1),(SUM(Data!E$39:E$49,Data!E$52)-SUM(F$95:F$97))*(OFFSET(ReadyReckoner!$A$45,0,F$247)*OFFSET(ReadyReckoner!$A$48,0,F$247)-1),Data!E$135*(OFFSET(ReadyReckoner!$A$50,0,F$247)-1),Data!E$137*(OFFSET(ReadyReckoner!$A$45,0,F$247)*OFFSET(ReadyReckoner!$A$51,0,F$247)-1)),0)</f>
        <v>0</v>
      </c>
      <c r="G270" s="57">
        <f ca="1">IF($F$1="Yes",SUM((Data!F$37-SUM(Data!F$135,Data!F$137))*(OFFSET(ReadyReckoner!$A$45,0,G$247)-1),(SUM(Data!F$39:F$49,Data!F$52)-SUM(G$95:G$97))*(OFFSET(ReadyReckoner!$A$45,0,G$247)*OFFSET(ReadyReckoner!$A$48,0,G$247)-1),Data!F$135*(OFFSET(ReadyReckoner!$A$50,0,G$247)-1),Data!F$137*(OFFSET(ReadyReckoner!$A$45,0,G$247)*OFFSET(ReadyReckoner!$A$51,0,G$247)-1)),0)</f>
        <v>0</v>
      </c>
      <c r="H270" s="57">
        <f ca="1">IF($F$1="Yes",SUM((Data!G$37-SUM(Data!G$135,Data!G$137))*(OFFSET(ReadyReckoner!$A$45,0,H$247)-1),(SUM(Data!G$39:G$49,Data!G$52)-SUM(H$95:H$97))*(OFFSET(ReadyReckoner!$A$45,0,H$247)*OFFSET(ReadyReckoner!$A$48,0,H$247)-1),Data!G$135*(OFFSET(ReadyReckoner!$A$50,0,H$247)-1),Data!G$137*(OFFSET(ReadyReckoner!$A$45,0,H$247)*OFFSET(ReadyReckoner!$A$51,0,H$247)-1)),0)</f>
        <v>0</v>
      </c>
      <c r="I270" s="57">
        <f ca="1">IF($F$1="Yes",SUM((Data!H$37-SUM(Data!H$135,Data!H$137))*(OFFSET(ReadyReckoner!$A$45,0,I$247)-1),(SUM(Data!H$39:H$49,Data!H$52)-SUM(I$95:I$97))*(OFFSET(ReadyReckoner!$A$45,0,I$247)*OFFSET(ReadyReckoner!$A$48,0,I$247)-1),Data!H$135*(OFFSET(ReadyReckoner!$A$50,0,I$247)-1),Data!H$137*(OFFSET(ReadyReckoner!$A$45,0,I$247)*OFFSET(ReadyReckoner!$A$51,0,I$247)-1)),0)</f>
        <v>0</v>
      </c>
      <c r="J270" s="57">
        <f ca="1">IF($F$1="Yes",SUM((Data!I$37-SUM(Data!I$135,Data!I$137))*(OFFSET(ReadyReckoner!$A$45,0,J$247)-1),(SUM(Data!I$39:I$49,Data!I$52)-SUM(J$95:J$97))*(OFFSET(ReadyReckoner!$A$45,0,J$247)*OFFSET(ReadyReckoner!$A$48,0,J$247)-1),Data!I$135*(OFFSET(ReadyReckoner!$A$50,0,J$247)-1),Data!I$137*(OFFSET(ReadyReckoner!$A$45,0,J$247)*OFFSET(ReadyReckoner!$A$51,0,J$247)-1)),0)</f>
        <v>0</v>
      </c>
    </row>
    <row r="271" spans="1:10" ht="12.75">
      <c r="A271" s="47" t="s">
        <v>914</v>
      </c>
      <c r="F271" s="57">
        <f>F$207*F$276/2</f>
        <v>0</v>
      </c>
      <c r="G271" s="57">
        <f>G$207*G$276/2</f>
        <v>0</v>
      </c>
      <c r="H271" s="57">
        <f>H$207*H$276/2</f>
        <v>0</v>
      </c>
      <c r="I271" s="57">
        <f>I$207*I$276/2</f>
        <v>0</v>
      </c>
      <c r="J271" s="57">
        <f>J$207*J$276/2</f>
        <v>0</v>
      </c>
    </row>
    <row r="272" spans="1:10" ht="12.75">
      <c r="A272" s="47" t="s">
        <v>915</v>
      </c>
      <c r="F272" s="57">
        <f>F$207*F$271/2</f>
        <v>0</v>
      </c>
      <c r="G272" s="57">
        <f>G$207*G$271/2</f>
        <v>0</v>
      </c>
      <c r="H272" s="57">
        <f>H$207*H$271/2</f>
        <v>0</v>
      </c>
      <c r="I272" s="57">
        <f>I$207*I$271/2</f>
        <v>0</v>
      </c>
      <c r="J272" s="57">
        <f>J$207*J$271/2</f>
        <v>0</v>
      </c>
    </row>
    <row r="273" spans="1:10" ht="12.75">
      <c r="A273" s="47" t="s">
        <v>916</v>
      </c>
      <c r="F273" s="57">
        <f>F$207*SUM($E$277:E$277)</f>
        <v>0</v>
      </c>
      <c r="G273" s="57">
        <f>G$207*SUM($E$277:F$277)</f>
        <v>0</v>
      </c>
      <c r="H273" s="57">
        <f>H$207*SUM($E$277:G$277)</f>
        <v>0</v>
      </c>
      <c r="I273" s="57">
        <f>I$207*SUM($E$277:H$277)</f>
        <v>0</v>
      </c>
      <c r="J273" s="57">
        <f>J$207*SUM($E$277:I$277)</f>
        <v>0</v>
      </c>
    </row>
    <row r="274" spans="1:10" ht="12.75">
      <c r="A274" s="272" t="s">
        <v>850</v>
      </c>
      <c r="F274" s="63">
        <f>F$269-SUM(F$270:F$273)</f>
        <v>0</v>
      </c>
      <c r="G274" s="63">
        <f>G$269-SUM(G$270:G$273)</f>
        <v>0</v>
      </c>
      <c r="H274" s="63">
        <f>H$269-SUM(H$270:H$273)</f>
        <v>0</v>
      </c>
      <c r="I274" s="63">
        <f>I$269-SUM(I$270:I$273)</f>
        <v>0</v>
      </c>
      <c r="J274" s="63">
        <f>J$269-SUM(J$270:J$273)</f>
        <v>0</v>
      </c>
    </row>
    <row r="275" spans="1:10" ht="12.75">
      <c r="A275" s="272" t="s">
        <v>923</v>
      </c>
      <c r="F275" s="63">
        <f>-F$278</f>
        <v>0</v>
      </c>
      <c r="G275" s="63">
        <f>-G$278</f>
        <v>0</v>
      </c>
      <c r="H275" s="63">
        <f>-H$278</f>
        <v>0</v>
      </c>
      <c r="I275" s="63">
        <f>-I$278</f>
        <v>0</v>
      </c>
      <c r="J275" s="63">
        <f>-J$278</f>
        <v>0</v>
      </c>
    </row>
    <row r="276" spans="1:10" ht="12.75">
      <c r="A276" s="47" t="s">
        <v>920</v>
      </c>
      <c r="F276" s="357">
        <f>-(F$269-F$270)</f>
        <v>0</v>
      </c>
      <c r="G276" s="357">
        <f>-(G$269-G$270)</f>
        <v>0</v>
      </c>
      <c r="H276" s="357">
        <f>-(H$269-H$270)</f>
        <v>0</v>
      </c>
      <c r="I276" s="357">
        <f>-(I$269-I$270)</f>
        <v>0</v>
      </c>
      <c r="J276" s="357">
        <f>-(J$269-J$270)</f>
        <v>0</v>
      </c>
    </row>
    <row r="277" spans="1:10" ht="12.75">
      <c r="A277" s="47" t="s">
        <v>123</v>
      </c>
      <c r="F277" s="357">
        <f>SUM(F$276,F$271:F$273)</f>
        <v>0</v>
      </c>
      <c r="G277" s="357">
        <f>SUM(G$276,G$271:G$273)</f>
        <v>0</v>
      </c>
      <c r="H277" s="357">
        <f>SUM(H$276,H$271:H$273)</f>
        <v>0</v>
      </c>
      <c r="I277" s="357">
        <f>SUM(I$276,I$271:I$273)</f>
        <v>0</v>
      </c>
      <c r="J277" s="357">
        <f>SUM(J$276,J$271:J$273)</f>
        <v>0</v>
      </c>
    </row>
    <row r="278" spans="1:10" ht="12.75">
      <c r="A278" s="272" t="s">
        <v>921</v>
      </c>
      <c r="F278" s="63">
        <f>SUM($E$277:F$277)</f>
        <v>0</v>
      </c>
      <c r="G278" s="63">
        <f>SUM($E$277:G$277)</f>
        <v>0</v>
      </c>
      <c r="H278" s="63">
        <f>SUM($E$277:H$277)</f>
        <v>0</v>
      </c>
      <c r="I278" s="63">
        <f>SUM($E$277:I$277)</f>
        <v>0</v>
      </c>
      <c r="J278" s="63">
        <f>SUM($E$277:J$277)</f>
        <v>0</v>
      </c>
    </row>
    <row r="279" spans="1:10" ht="12.75">
      <c r="A279" s="272" t="s">
        <v>922</v>
      </c>
      <c r="F279" s="63">
        <f>F$278</f>
        <v>0</v>
      </c>
      <c r="G279" s="63">
        <f>G$278</f>
        <v>0</v>
      </c>
      <c r="H279" s="63">
        <f>H$278</f>
        <v>0</v>
      </c>
      <c r="I279" s="63">
        <f>I$278</f>
        <v>0</v>
      </c>
      <c r="J279" s="63">
        <f>J$278</f>
        <v>0</v>
      </c>
    </row>
    <row r="280" spans="1:10" ht="12.75">
      <c r="A280" s="46" t="s">
        <v>862</v>
      </c>
      <c r="F280" s="63"/>
      <c r="G280" s="63"/>
      <c r="H280" s="63"/>
      <c r="I280" s="63"/>
      <c r="J280" s="63"/>
    </row>
    <row r="281" spans="1:10" ht="12.75">
      <c r="A281" s="49" t="s">
        <v>865</v>
      </c>
      <c r="F281" s="57">
        <f ca="1">IF($L$1="Yes",IF(OFFSET(Tracks!$H$8,0,F$247)=0,OFFSET(ReadyReckoner!$H$61,0,F$247),Data!E$168*(OFFSET(ReadyReckoner!$H$61,0,F$247)/OFFSET(Tracks!$H$8,0,F$247)-1)),0)</f>
        <v>0</v>
      </c>
      <c r="G281" s="57">
        <f ca="1">IF($L$1="Yes",IF(OFFSET(Tracks!$H$8,0,G$247)=0,OFFSET(ReadyReckoner!$H$61,0,G$247),Data!F$168*(OFFSET(ReadyReckoner!$H$61,0,G$247)/OFFSET(Tracks!$H$8,0,G$247)-1)),0)</f>
        <v>0</v>
      </c>
      <c r="H281" s="57">
        <f ca="1">IF($L$1="Yes",IF(OFFSET(Tracks!$H$8,0,H$247)=0,OFFSET(ReadyReckoner!$H$61,0,H$247),Data!G$168*(OFFSET(ReadyReckoner!$H$61,0,H$247)/OFFSET(Tracks!$H$8,0,H$247)-1)),0)</f>
        <v>0</v>
      </c>
      <c r="I281" s="57">
        <f ca="1">IF($L$1="Yes",IF(OFFSET(Tracks!$H$8,0,I$247)=0,OFFSET(ReadyReckoner!$H$61,0,I$247),Data!H$168*(OFFSET(ReadyReckoner!$H$61,0,I$247)/OFFSET(Tracks!$H$8,0,I$247)-1)),0)</f>
        <v>0</v>
      </c>
      <c r="J281" s="57">
        <f ca="1">IF($L$1="Yes",IF(OFFSET(Tracks!$H$8,0,J$247)=0,OFFSET(ReadyReckoner!$H$61,0,J$247),Data!I$168*(OFFSET(ReadyReckoner!$H$61,0,J$247)/OFFSET(Tracks!$H$8,0,J$247)-1)),0)</f>
        <v>0</v>
      </c>
    </row>
    <row r="282" spans="1:10" ht="12.75">
      <c r="A282" s="47" t="s">
        <v>853</v>
      </c>
      <c r="F282" s="57">
        <f ca="1">IF($L$1="Yes",IF(OFFSET(Tracks!$H$7,0,F$247)=0,(Data!E$166/SUM(Data!E$166,Data!E$169))*OFFSET(ReadyReckoner!$H$60,0,F$247),Data!E$166*(OFFSET(ReadyReckoner!$H$60,0,F$247)/OFFSET(Tracks!$H$7,0,F$247)-1)),0)</f>
        <v>0</v>
      </c>
      <c r="G282" s="57">
        <f ca="1">IF($L$1="Yes",IF(OFFSET(Tracks!$H$7,0,G$247)=0,(Data!F$166/SUM(Data!F$166,Data!F$169))*OFFSET(ReadyReckoner!$H$60,0,G$247),Data!F$166*(OFFSET(ReadyReckoner!$H$60,0,G$247)/OFFSET(Tracks!$H$7,0,G$247)-1)),0)</f>
        <v>0</v>
      </c>
      <c r="H282" s="57">
        <f ca="1">IF($L$1="Yes",IF(OFFSET(Tracks!$H$7,0,H$247)=0,(Data!G$166/SUM(Data!G$166,Data!G$169))*OFFSET(ReadyReckoner!$H$60,0,H$247),Data!G$166*(OFFSET(ReadyReckoner!$H$60,0,H$247)/OFFSET(Tracks!$H$7,0,H$247)-1)),0)</f>
        <v>0</v>
      </c>
      <c r="I282" s="57">
        <f ca="1">IF($L$1="Yes",IF(OFFSET(Tracks!$H$7,0,I$247)=0,(Data!H$166/SUM(Data!H$166,Data!H$169))*OFFSET(ReadyReckoner!$H$60,0,I$247),Data!H$166*(OFFSET(ReadyReckoner!$H$60,0,I$247)/OFFSET(Tracks!$H$7,0,I$247)-1)),0)</f>
        <v>0</v>
      </c>
      <c r="J282" s="57">
        <f ca="1">IF($L$1="Yes",IF(OFFSET(Tracks!$H$7,0,J$247)=0,(Data!I$166/SUM(Data!I$166,Data!I$169))*OFFSET(ReadyReckoner!$H$60,0,J$247),Data!I$166*(OFFSET(ReadyReckoner!$H$60,0,J$247)/OFFSET(Tracks!$H$7,0,J$247)-1)),0)</f>
        <v>0</v>
      </c>
    </row>
    <row r="283" spans="1:10" ht="12.75">
      <c r="A283" s="47" t="s">
        <v>854</v>
      </c>
      <c r="F283" s="57">
        <f ca="1">IF($L$1="Yes",IF(OFFSET(Tracks!$H$7,0,F$247)=0,(Data!E$169/SUM(Data!E$166,Data!E$169))*OFFSET(ReadyReckoner!$H$60,0,F$247),Data!E$166*(OFFSET(ReadyReckoner!$H$60,0,F$247)/OFFSET(Tracks!$H$7,0,F$247)-1)),0)</f>
        <v>0</v>
      </c>
      <c r="G283" s="57">
        <f ca="1">IF($L$1="Yes",IF(OFFSET(Tracks!$H$7,0,G$247)=0,(Data!F$169/SUM(Data!F$166,Data!F$169))*OFFSET(ReadyReckoner!$H$60,0,G$247),Data!F$166*(OFFSET(ReadyReckoner!$H$60,0,G$247)/OFFSET(Tracks!$H$7,0,G$247)-1)),0)</f>
        <v>0</v>
      </c>
      <c r="H283" s="57">
        <f ca="1">IF($L$1="Yes",IF(OFFSET(Tracks!$H$7,0,H$247)=0,(Data!G$169/SUM(Data!G$166,Data!G$169))*OFFSET(ReadyReckoner!$H$60,0,H$247),Data!G$166*(OFFSET(ReadyReckoner!$H$60,0,H$247)/OFFSET(Tracks!$H$7,0,H$247)-1)),0)</f>
        <v>0</v>
      </c>
      <c r="I283" s="57">
        <f ca="1">IF($L$1="Yes",IF(OFFSET(Tracks!$H$7,0,I$247)=0,(Data!H$169/SUM(Data!H$166,Data!H$169))*OFFSET(ReadyReckoner!$H$60,0,I$247),Data!H$166*(OFFSET(ReadyReckoner!$H$60,0,I$247)/OFFSET(Tracks!$H$7,0,I$247)-1)),0)</f>
        <v>0</v>
      </c>
      <c r="J283" s="57">
        <f ca="1">IF($L$1="Yes",IF(OFFSET(Tracks!$H$7,0,J$247)=0,(Data!I$169/SUM(Data!I$166,Data!I$169))*OFFSET(ReadyReckoner!$H$60,0,J$247),Data!I$166*(OFFSET(ReadyReckoner!$H$60,0,J$247)/OFFSET(Tracks!$H$7,0,J$247)-1)),0)</f>
        <v>0</v>
      </c>
    </row>
    <row r="284" spans="1:10" ht="12.75">
      <c r="A284" s="47" t="s">
        <v>864</v>
      </c>
      <c r="F284" s="57">
        <f ca="1">IF($L$1="Yes",IF(OFFSET(Tracks!$H$7,0,F$247)=0,0,Data!E$175*(OFFSET(ReadyReckoner!$H$60,0,F$247)/OFFSET(Tracks!$H$7,0,F$247)-1)),0)</f>
        <v>0</v>
      </c>
      <c r="G284" s="57">
        <f ca="1">IF($L$1="Yes",IF(OFFSET(Tracks!$H$7,0,G$247)=0,0,Data!F$175*(OFFSET(ReadyReckoner!$H$60,0,G$247)/OFFSET(Tracks!$H$7,0,G$247)-1)),0)</f>
        <v>0</v>
      </c>
      <c r="H284" s="57">
        <f ca="1">IF($L$1="Yes",IF(OFFSET(Tracks!$H$7,0,H$247)=0,0,Data!G$175*(OFFSET(ReadyReckoner!$H$60,0,H$247)/OFFSET(Tracks!$H$7,0,H$247)-1)),0)</f>
        <v>0</v>
      </c>
      <c r="I284" s="57">
        <f ca="1">IF($L$1="Yes",IF(OFFSET(Tracks!$H$7,0,I$247)=0,0,Data!H$175*(OFFSET(ReadyReckoner!$H$60,0,I$247)/OFFSET(Tracks!$H$7,0,I$247)-1)),0)</f>
        <v>0</v>
      </c>
      <c r="J284" s="57">
        <f ca="1">IF($L$1="Yes",IF(OFFSET(Tracks!$H$7,0,J$247)=0,0,Data!I$175*(OFFSET(ReadyReckoner!$H$60,0,J$247)/OFFSET(Tracks!$H$7,0,J$247)-1)),0)</f>
        <v>0</v>
      </c>
    </row>
    <row r="285" spans="1:10" ht="12.75">
      <c r="A285" s="47" t="s">
        <v>917</v>
      </c>
      <c r="F285" s="57">
        <f>F$207*F$294/2</f>
        <v>0</v>
      </c>
      <c r="G285" s="57">
        <f>G$207*G$294/2</f>
        <v>0</v>
      </c>
      <c r="H285" s="57">
        <f>H$207*H$294/2</f>
        <v>0</v>
      </c>
      <c r="I285" s="57">
        <f>I$207*I$294/2</f>
        <v>0</v>
      </c>
      <c r="J285" s="57">
        <f>J$207*J$294/2</f>
        <v>0</v>
      </c>
    </row>
    <row r="286" spans="1:10" ht="12.75">
      <c r="A286" s="47" t="s">
        <v>918</v>
      </c>
      <c r="F286" s="57">
        <f>F$207*F$285/2</f>
        <v>0</v>
      </c>
      <c r="G286" s="57">
        <f>G$207*G$285/2</f>
        <v>0</v>
      </c>
      <c r="H286" s="57">
        <f>H$207*H$285/2</f>
        <v>0</v>
      </c>
      <c r="I286" s="57">
        <f>I$207*I$285/2</f>
        <v>0</v>
      </c>
      <c r="J286" s="57">
        <f>J$207*J$285/2</f>
        <v>0</v>
      </c>
    </row>
    <row r="287" spans="1:10" ht="12.75">
      <c r="A287" s="47" t="s">
        <v>919</v>
      </c>
      <c r="F287" s="57">
        <f>F$207*SUM($E$295:E$295)</f>
        <v>0</v>
      </c>
      <c r="G287" s="57">
        <f>G$207*SUM($E$295:F$295)</f>
        <v>0</v>
      </c>
      <c r="H287" s="57">
        <f>H$207*SUM($E$295:G$295)</f>
        <v>0</v>
      </c>
      <c r="I287" s="57">
        <f>I$207*SUM($E$295:H$295)</f>
        <v>0</v>
      </c>
      <c r="J287" s="57">
        <f>J$207*SUM($E$295:I$295)</f>
        <v>0</v>
      </c>
    </row>
    <row r="288" spans="1:10" ht="12.75">
      <c r="A288" s="272" t="s">
        <v>855</v>
      </c>
      <c r="F288" s="63">
        <f>SUM(F$282,F$283)-SUM(F$284:F$287)</f>
        <v>0</v>
      </c>
      <c r="G288" s="63">
        <f>SUM(G$282,G$283)-SUM(G$284:G$287)</f>
        <v>0</v>
      </c>
      <c r="H288" s="63">
        <f>SUM(H$282,H$283)-SUM(H$284:H$287)</f>
        <v>0</v>
      </c>
      <c r="I288" s="63">
        <f>SUM(I$282,I$283)-SUM(I$284:I$287)</f>
        <v>0</v>
      </c>
      <c r="J288" s="63">
        <f>SUM(J$282,J$283)-SUM(J$284:J$287)</f>
        <v>0</v>
      </c>
    </row>
    <row r="289" spans="1:10" ht="12.75">
      <c r="A289" s="49" t="s">
        <v>866</v>
      </c>
      <c r="F289" s="57">
        <f ca="1">IF($L$1="Yes",IF(OFFSET(Tracks!$H$6,0,F$247)=0,OFFSET(ReadyReckoner!$H$59,0,F$247),Data!E$171*(OFFSET(ReadyReckoner!$H$59,0,F$247)/OFFSET(Tracks!$H$6,0,F$247)-1)),0)</f>
        <v>0</v>
      </c>
      <c r="G289" s="57">
        <f ca="1">IF($L$1="Yes",IF(OFFSET(Tracks!$H$6,0,G$247)=0,OFFSET(ReadyReckoner!$H$59,0,G$247),Data!F$171*(OFFSET(ReadyReckoner!$H$59,0,G$247)/OFFSET(Tracks!$H$6,0,G$247)-1)),0)</f>
        <v>0</v>
      </c>
      <c r="H289" s="57">
        <f ca="1">IF($L$1="Yes",IF(OFFSET(Tracks!$H$6,0,H$247)=0,OFFSET(ReadyReckoner!$H$59,0,H$247),Data!G$171*(OFFSET(ReadyReckoner!$H$59,0,H$247)/OFFSET(Tracks!$H$6,0,H$247)-1)),0)</f>
        <v>0</v>
      </c>
      <c r="I289" s="57">
        <f ca="1">IF($L$1="Yes",IF(OFFSET(Tracks!$H$6,0,I$247)=0,OFFSET(ReadyReckoner!$H$59,0,I$247),Data!H$171*(OFFSET(ReadyReckoner!$H$59,0,I$247)/OFFSET(Tracks!$H$6,0,I$247)-1)),0)</f>
        <v>0</v>
      </c>
      <c r="J289" s="57">
        <f ca="1">IF($L$1="Yes",IF(OFFSET(Tracks!$H$6,0,J$247)=0,OFFSET(ReadyReckoner!$H$59,0,J$247),Data!I$171*(OFFSET(ReadyReckoner!$H$59,0,J$247)/OFFSET(Tracks!$H$6,0,J$247)-1)),0)</f>
        <v>0</v>
      </c>
    </row>
    <row r="290" spans="1:10" ht="12.75">
      <c r="A290" s="49" t="s">
        <v>872</v>
      </c>
      <c r="F290" s="57">
        <f ca="1">IF($L$1="Yes",IF(OFFSET(Tracks!$H$7,0,F$247)=0,0,Data!E$172*(OFFSET(ReadyReckoner!$H$60,0,F$247)/OFFSET(Tracks!$H$7,0,F$247)-1)),0)</f>
        <v>0</v>
      </c>
      <c r="G290" s="57">
        <f ca="1">IF($L$1="Yes",IF(OFFSET(Tracks!$H$7,0,G$247)=0,0,Data!F$172*(OFFSET(ReadyReckoner!$H$60,0,G$247)/OFFSET(Tracks!$H$7,0,G$247)-1)),0)</f>
        <v>0</v>
      </c>
      <c r="H290" s="57">
        <f ca="1">IF($L$1="Yes",IF(OFFSET(Tracks!$H$7,0,H$247)=0,0,Data!G$172*(OFFSET(ReadyReckoner!$H$60,0,H$247)/OFFSET(Tracks!$H$7,0,H$247)-1)),0)</f>
        <v>0</v>
      </c>
      <c r="I290" s="57">
        <f ca="1">IF($L$1="Yes",IF(OFFSET(Tracks!$H$7,0,I$247)=0,0,Data!H$172*(OFFSET(ReadyReckoner!$H$60,0,I$247)/OFFSET(Tracks!$H$7,0,I$247)-1)),0)</f>
        <v>0</v>
      </c>
      <c r="J290" s="57">
        <f ca="1">IF($L$1="Yes",IF(OFFSET(Tracks!$H$7,0,J$247)=0,0,Data!I$172*(OFFSET(ReadyReckoner!$H$60,0,J$247)/OFFSET(Tracks!$H$7,0,J$247)-1)),0)</f>
        <v>0</v>
      </c>
    </row>
    <row r="291" spans="1:10" ht="12.75">
      <c r="A291" s="47" t="s">
        <v>867</v>
      </c>
      <c r="F291" s="57">
        <f ca="1">IF($L$1="Yes",IF(OFFSET(Tracks!$H$9,0,F$247)=0,(Data!E$144/Data!E$173)*OFFSET(ReadyReckoner!$H$62,0,F$247),Data!E$144*(OFFSET(ReadyReckoner!$H$62,0,F$247)/OFFSET(Tracks!$H$9,0,F$247)-1)),0)</f>
        <v>0</v>
      </c>
      <c r="G291" s="57">
        <f ca="1">IF($L$1="Yes",IF(OFFSET(Tracks!$H$9,0,G$247)=0,(Data!F$144/Data!F$173)*OFFSET(ReadyReckoner!$H$62,0,G$247),Data!F$144*(OFFSET(ReadyReckoner!$H$62,0,G$247)/OFFSET(Tracks!$H$9,0,G$247)-1)),0)</f>
        <v>0</v>
      </c>
      <c r="H291" s="57">
        <f ca="1">IF($L$1="Yes",IF(OFFSET(Tracks!$H$9,0,H$247)=0,(Data!G$144/Data!G$173)*OFFSET(ReadyReckoner!$H$62,0,H$247),Data!G$144*(OFFSET(ReadyReckoner!$H$62,0,H$247)/OFFSET(Tracks!$H$9,0,H$247)-1)),0)</f>
        <v>0</v>
      </c>
      <c r="I291" s="57">
        <f ca="1">IF($L$1="Yes",IF(OFFSET(Tracks!$H$9,0,I$247)=0,(Data!H$144/Data!H$173)*OFFSET(ReadyReckoner!$H$62,0,I$247),Data!H$144*(OFFSET(ReadyReckoner!$H$62,0,I$247)/OFFSET(Tracks!$H$9,0,I$247)-1)),0)</f>
        <v>0</v>
      </c>
      <c r="J291" s="57">
        <f ca="1">IF($L$1="Yes",IF(OFFSET(Tracks!$H$9,0,J$247)=0,(Data!I$144/Data!I$173)*OFFSET(ReadyReckoner!$H$62,0,J$247),Data!I$144*(OFFSET(ReadyReckoner!$H$62,0,J$247)/OFFSET(Tracks!$H$9,0,J$247)-1)),0)</f>
        <v>0</v>
      </c>
    </row>
    <row r="292" spans="1:10" ht="12.75">
      <c r="A292" s="47" t="s">
        <v>868</v>
      </c>
      <c r="F292" s="57">
        <f ca="1">IF($L$1="Yes",IF(OFFSET(Tracks!$H$9,0,F$247)=0,(1-Data!E$144/Data!E$173)*OFFSET(ReadyReckoner!$H$62,0,F$247),(Data!E$173-Data!E$144)*(OFFSET(ReadyReckoner!$H$62,0,F$247)/OFFSET(Tracks!$H$9,0,F$247)-1)),0)</f>
        <v>0</v>
      </c>
      <c r="G292" s="57">
        <f ca="1">IF($L$1="Yes",IF(OFFSET(Tracks!$H$9,0,G$247)=0,(1-Data!F$144/Data!F$173)*OFFSET(ReadyReckoner!$H$62,0,G$247),(Data!F$173-Data!F$144)*(OFFSET(ReadyReckoner!$H$62,0,G$247)/OFFSET(Tracks!$H$9,0,G$247)-1)),0)</f>
        <v>0</v>
      </c>
      <c r="H292" s="57">
        <f ca="1">IF($L$1="Yes",IF(OFFSET(Tracks!$H$9,0,H$247)=0,(1-Data!G$144/Data!G$173)*OFFSET(ReadyReckoner!$H$62,0,H$247),(Data!G$173-Data!G$144)*(OFFSET(ReadyReckoner!$H$62,0,H$247)/OFFSET(Tracks!$H$9,0,H$247)-1)),0)</f>
        <v>0</v>
      </c>
      <c r="I292" s="57">
        <f ca="1">IF($L$1="Yes",IF(OFFSET(Tracks!$H$9,0,I$247)=0,(1-Data!H$144/Data!H$173)*OFFSET(ReadyReckoner!$H$62,0,I$247),(Data!H$173-Data!H$144)*(OFFSET(ReadyReckoner!$H$62,0,I$247)/OFFSET(Tracks!$H$9,0,I$247)-1)),0)</f>
        <v>0</v>
      </c>
      <c r="J292" s="57">
        <f ca="1">IF($L$1="Yes",IF(OFFSET(Tracks!$H$9,0,J$247)=0,(1-Data!I$144/Data!I$173)*OFFSET(ReadyReckoner!$H$62,0,J$247),(Data!I$173-Data!I$144)*(OFFSET(ReadyReckoner!$H$62,0,J$247)/OFFSET(Tracks!$H$9,0,J$247)-1)),0)</f>
        <v>0</v>
      </c>
    </row>
    <row r="293" spans="1:10" ht="12.75">
      <c r="A293" s="272" t="s">
        <v>857</v>
      </c>
      <c r="F293" s="63">
        <f>SUM(F$291,F$292)-F$296</f>
        <v>0</v>
      </c>
      <c r="G293" s="63">
        <f>SUM(G$291,G$292)-G$296</f>
        <v>0</v>
      </c>
      <c r="H293" s="63">
        <f>SUM(H$291,H$292)-H$296</f>
        <v>0</v>
      </c>
      <c r="I293" s="63">
        <f>SUM(I$291,I$292)-I$296</f>
        <v>0</v>
      </c>
      <c r="J293" s="63">
        <f>SUM(J$291,J$292)-J$296</f>
        <v>0</v>
      </c>
    </row>
    <row r="294" spans="1:10" ht="12.75">
      <c r="A294" s="47" t="s">
        <v>873</v>
      </c>
      <c r="F294" s="357">
        <f>SUM(F$291,F$292)-SUM(E$291,E$292)-SUM(F$282,F$283,-F$284)</f>
        <v>0</v>
      </c>
      <c r="G294" s="357">
        <f>SUM(G$291,G$292)-SUM(F$291,F$292)-SUM(G$282,G$283,-G$284)</f>
        <v>0</v>
      </c>
      <c r="H294" s="357">
        <f>SUM(H$291,H$292)-SUM(G$291,G$292)-SUM(H$282,H$283,-H$284)</f>
        <v>0</v>
      </c>
      <c r="I294" s="357">
        <f>SUM(I$291,I$292)-SUM(H$291,H$292)-SUM(I$282,I$283,-I$284)</f>
        <v>0</v>
      </c>
      <c r="J294" s="357">
        <f>SUM(J$291,J$292)-SUM(I$291,I$292)-SUM(J$282,J$283,-J$284)</f>
        <v>0</v>
      </c>
    </row>
    <row r="295" spans="1:10" ht="12.75">
      <c r="A295" s="47" t="s">
        <v>874</v>
      </c>
      <c r="F295" s="357">
        <f>SUM(F$294,F$285:F$287)</f>
        <v>0</v>
      </c>
      <c r="G295" s="357">
        <f>SUM(G$294,G$285:G$287)</f>
        <v>0</v>
      </c>
      <c r="H295" s="357">
        <f>SUM(H$294,H$285:H$287)</f>
        <v>0</v>
      </c>
      <c r="I295" s="357">
        <f>SUM(I$294,I$285:I$287)</f>
        <v>0</v>
      </c>
      <c r="J295" s="357">
        <f>SUM(J$294,J$285:J$287)</f>
        <v>0</v>
      </c>
    </row>
    <row r="296" spans="1:10" ht="12.75">
      <c r="A296" s="272" t="s">
        <v>856</v>
      </c>
      <c r="F296" s="63">
        <f>SUM($E$295:F$295)</f>
        <v>0</v>
      </c>
      <c r="G296" s="63">
        <f>SUM($E$295:G$295)</f>
        <v>0</v>
      </c>
      <c r="H296" s="63">
        <f>SUM($E$295:H$295)</f>
        <v>0</v>
      </c>
      <c r="I296" s="63">
        <f>SUM($E$295:I$295)</f>
        <v>0</v>
      </c>
      <c r="J296" s="63">
        <f>SUM($E$295:J$295)</f>
        <v>0</v>
      </c>
    </row>
    <row r="297" spans="1:10" ht="12.75">
      <c r="A297" s="272" t="s">
        <v>870</v>
      </c>
      <c r="F297" s="63">
        <f>F$296-F$291</f>
        <v>0</v>
      </c>
      <c r="G297" s="63">
        <f>G$296-G$291</f>
        <v>0</v>
      </c>
      <c r="H297" s="63">
        <f>H$296-H$291</f>
        <v>0</v>
      </c>
      <c r="I297" s="63">
        <f>I$296-I$291</f>
        <v>0</v>
      </c>
      <c r="J297" s="63">
        <f>J$296-J$291</f>
        <v>0</v>
      </c>
    </row>
    <row r="298" ht="13.5">
      <c r="A298" s="273"/>
    </row>
    <row r="299" spans="1:10" ht="12.75">
      <c r="A299" s="272" t="s">
        <v>851</v>
      </c>
      <c r="F299" s="63">
        <f>SUM(F$259,F$274,F$288)</f>
        <v>0</v>
      </c>
      <c r="G299" s="63">
        <f>SUM(G$259,G$274,G$288)</f>
        <v>0</v>
      </c>
      <c r="H299" s="63">
        <f>SUM(H$259,H$274,H$288)</f>
        <v>0</v>
      </c>
      <c r="I299" s="63">
        <f>SUM(I$259,I$274,I$288)</f>
        <v>0</v>
      </c>
      <c r="J299" s="63">
        <f>SUM(J$259,J$274,J$288)</f>
        <v>0</v>
      </c>
    </row>
    <row r="300" spans="1:10" ht="13.5">
      <c r="A300" s="273" t="s">
        <v>124</v>
      </c>
      <c r="F300" s="177" t="str">
        <f>IF(ROUND(Data!E$16-(F$15-F$299),3)=0,"OK","ERROR")</f>
        <v>OK</v>
      </c>
      <c r="G300" s="177" t="str">
        <f>IF(ROUND(Data!F$16-(G$15-G$299),3)=0,"OK","ERROR")</f>
        <v>OK</v>
      </c>
      <c r="H300" s="177" t="str">
        <f>IF(ROUND(Data!G$16-(H$15-H$299),3)=0,"OK","ERROR")</f>
        <v>OK</v>
      </c>
      <c r="I300" s="177" t="str">
        <f>IF(ROUND(Data!H$16-(I$15-I$299),3)=0,"OK","ERROR")</f>
        <v>OK</v>
      </c>
      <c r="J300" s="177" t="str">
        <f>IF(ROUND(Data!I$16-(J$15-J$299),3)=0,"OK","ERROR")</f>
        <v>OK</v>
      </c>
    </row>
    <row r="301" spans="1:10" ht="12.75">
      <c r="A301" s="272" t="s">
        <v>852</v>
      </c>
      <c r="F301" s="63">
        <f>SUM(F$266,F$278,F$296)</f>
        <v>0</v>
      </c>
      <c r="G301" s="63">
        <f>SUM(G$266,G$278,G$296)</f>
        <v>0</v>
      </c>
      <c r="H301" s="63">
        <f>SUM(H$266,H$278,H$296)</f>
        <v>0</v>
      </c>
      <c r="I301" s="63">
        <f>SUM(I$266,I$278,I$296)</f>
        <v>0</v>
      </c>
      <c r="J301" s="63">
        <f>SUM(J$266,J$278,J$296)</f>
        <v>0</v>
      </c>
    </row>
    <row r="302" spans="1:10" ht="13.5">
      <c r="A302" s="273" t="s">
        <v>124</v>
      </c>
      <c r="F302" s="177" t="str">
        <f>IF(ROUND(Data!E$71-(F$26-F$301),3)=0,"OK","ERROR")</f>
        <v>OK</v>
      </c>
      <c r="G302" s="177" t="str">
        <f>IF(ROUND(Data!F$71-(G$26-G$301),3)=0,"OK","ERROR")</f>
        <v>OK</v>
      </c>
      <c r="H302" s="177" t="str">
        <f>IF(ROUND(Data!G$71-(H$26-H$301),3)=0,"OK","ERROR")</f>
        <v>OK</v>
      </c>
      <c r="I302" s="177" t="str">
        <f>IF(ROUND(Data!H$71-(I$26-I$301),3)=0,"OK","ERROR")</f>
        <v>OK</v>
      </c>
      <c r="J302" s="177" t="str">
        <f>IF(ROUND(Data!I$71-(J$26-J$301),3)=0,"OK","ERROR")</f>
        <v>OK</v>
      </c>
    </row>
    <row r="303" spans="1:10" ht="12.75">
      <c r="A303" s="272" t="s">
        <v>125</v>
      </c>
      <c r="F303" s="63">
        <f>SUM(F$263,F$275,F$293)</f>
        <v>0</v>
      </c>
      <c r="G303" s="63">
        <f>SUM(G$263,G$275,G$293)</f>
        <v>0</v>
      </c>
      <c r="H303" s="63">
        <f>SUM(H$263,H$275,H$293)</f>
        <v>0</v>
      </c>
      <c r="I303" s="63">
        <f>SUM(I$263,I$275,I$293)</f>
        <v>0</v>
      </c>
      <c r="J303" s="63">
        <f>SUM(J$263,J$275,J$293)</f>
        <v>0</v>
      </c>
    </row>
    <row r="304" spans="1:10" ht="13.5">
      <c r="A304" s="273" t="s">
        <v>124</v>
      </c>
      <c r="F304" s="177" t="str">
        <f>IF(ROUND(Data!E$76-(F$28-F$303),3)=0,"OK","ERROR")</f>
        <v>OK</v>
      </c>
      <c r="G304" s="177" t="str">
        <f>IF(ROUND(Data!F$76-(G$28-G$303),3)=0,"OK","ERROR")</f>
        <v>OK</v>
      </c>
      <c r="H304" s="177" t="str">
        <f>IF(ROUND(Data!G$76-(H$28-H$303),3)=0,"OK","ERROR")</f>
        <v>OK</v>
      </c>
      <c r="I304" s="177" t="str">
        <f>IF(ROUND(Data!H$76-(I$28-I$303),3)=0,"OK","ERROR")</f>
        <v>OK</v>
      </c>
      <c r="J304" s="177" t="str">
        <f>IF(ROUND(Data!I$76-(J$28-J$303),3)=0,"OK","ERROR")</f>
        <v>OK</v>
      </c>
    </row>
    <row r="305" spans="1:10" ht="12.75">
      <c r="A305" s="272" t="s">
        <v>875</v>
      </c>
      <c r="F305" s="63">
        <f>SUM(F$267,F$279,F$297)</f>
        <v>0</v>
      </c>
      <c r="G305" s="63">
        <f>SUM(G$267,G$279,G$297)</f>
        <v>0</v>
      </c>
      <c r="H305" s="63">
        <f>SUM(H$267,H$279,H$297)</f>
        <v>0</v>
      </c>
      <c r="I305" s="63">
        <f>SUM(I$267,I$279,I$297)</f>
        <v>0</v>
      </c>
      <c r="J305" s="63">
        <f>SUM(J$267,J$279,J$297)</f>
        <v>0</v>
      </c>
    </row>
    <row r="306" spans="1:10" ht="13.5">
      <c r="A306" s="273" t="s">
        <v>124</v>
      </c>
      <c r="F306" s="177" t="str">
        <f>IF(ROUND(Data!E$86-(F$36-F$305),3)=0,"OK","ERROR")</f>
        <v>OK</v>
      </c>
      <c r="G306" s="177" t="str">
        <f>IF(ROUND(Data!F$86-(G$36-G$305),3)=0,"OK","ERROR")</f>
        <v>OK</v>
      </c>
      <c r="H306" s="177" t="str">
        <f>IF(ROUND(Data!G$86-(H$36-H$305),3)=0,"OK","ERROR")</f>
        <v>OK</v>
      </c>
      <c r="I306" s="177" t="str">
        <f>IF(ROUND(Data!H$86-(I$36-I$305),3)=0,"OK","ERROR")</f>
        <v>OK</v>
      </c>
      <c r="J306" s="177" t="str">
        <f>IF(ROUND(Data!I$86-(J$36-J$305),3)=0,"OK","ERROR")</f>
        <v>OK</v>
      </c>
    </row>
    <row r="307" spans="1:10" ht="12.75">
      <c r="A307" s="272" t="s">
        <v>871</v>
      </c>
      <c r="F307" s="63">
        <f>SUM(F$267,F$279,F$297,F$291)</f>
        <v>0</v>
      </c>
      <c r="G307" s="63">
        <f>SUM(G$267,G$279,G$297,G$291)</f>
        <v>0</v>
      </c>
      <c r="H307" s="63">
        <f>SUM(H$267,H$279,H$297,H$291)</f>
        <v>0</v>
      </c>
      <c r="I307" s="63">
        <f>SUM(I$267,I$279,I$297,I$291)</f>
        <v>0</v>
      </c>
      <c r="J307" s="63">
        <f>SUM(J$267,J$279,J$297,J$291)</f>
        <v>0</v>
      </c>
    </row>
    <row r="308" spans="1:10" ht="13.5">
      <c r="A308" s="273" t="s">
        <v>124</v>
      </c>
      <c r="F308" s="177" t="str">
        <f>IF(ROUND(Data!E$88-(F$37-F$307),3)=0,"OK","ERROR")</f>
        <v>OK</v>
      </c>
      <c r="G308" s="177" t="str">
        <f>IF(ROUND(Data!F$88-(G$37-G$307),3)=0,"OK","ERROR")</f>
        <v>OK</v>
      </c>
      <c r="H308" s="177" t="str">
        <f>IF(ROUND(Data!G$88-(H$37-H$307),3)=0,"OK","ERROR")</f>
        <v>OK</v>
      </c>
      <c r="I308" s="177" t="str">
        <f>IF(ROUND(Data!H$88-(I$37-I$307),3)=0,"OK","ERROR")</f>
        <v>OK</v>
      </c>
      <c r="J308" s="177" t="str">
        <f>IF(ROUND(Data!I$88-(J$37-J$307),3)=0,"OK","ERROR")</f>
        <v>OK</v>
      </c>
    </row>
    <row r="309" spans="11:12" ht="12.75">
      <c r="K309" s="171"/>
      <c r="L309" s="171"/>
    </row>
    <row r="310" spans="11:12" ht="12.75">
      <c r="K310" s="171"/>
      <c r="L310" s="171"/>
    </row>
    <row r="311" spans="11:12" ht="12.75">
      <c r="K311" s="171"/>
      <c r="L311" s="171"/>
    </row>
    <row r="312" spans="11:12" ht="12.75">
      <c r="K312" s="171"/>
      <c r="L312" s="171"/>
    </row>
    <row r="313" spans="11:12" ht="12.75">
      <c r="K313" s="171"/>
      <c r="L313" s="171"/>
    </row>
    <row r="314" spans="11:12" ht="12.75">
      <c r="K314" s="171"/>
      <c r="L314" s="171"/>
    </row>
    <row r="315" spans="11:12" ht="12.75">
      <c r="K315" s="171"/>
      <c r="L315" s="171"/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File - Fiscal Strategy Model - The Treasury</dc:title>
  <dc:subject/>
  <dc:creator>New Zealand Treasury</dc:creator>
  <cp:keywords/>
  <dc:description/>
  <cp:lastModifiedBy>hamiltong</cp:lastModifiedBy>
  <cp:lastPrinted>2008-09-24T00:49:32Z</cp:lastPrinted>
  <dcterms:created xsi:type="dcterms:W3CDTF">2001-06-18T01:52:26Z</dcterms:created>
  <dcterms:modified xsi:type="dcterms:W3CDTF">2009-05-27T19:38:57Z</dcterms:modified>
  <cp:category/>
  <cp:version/>
  <cp:contentType/>
  <cp:contentStatus/>
</cp:coreProperties>
</file>